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240" yWindow="60" windowWidth="11580" windowHeight="6030" tabRatio="952" activeTab="2"/>
  </bookViews>
  <sheets>
    <sheet name="Titel" sheetId="1" r:id="rId1"/>
    <sheet name="Beschr." sheetId="2" state="hidden" r:id="rId2"/>
    <sheet name="Zuchtb." sheetId="3" r:id="rId3"/>
    <sheet name="Schleuderl." sheetId="4" r:id="rId4"/>
    <sheet name="Standl." sheetId="5" r:id="rId5"/>
    <sheet name="1" sheetId="6" r:id="rId6"/>
    <sheet name=" " sheetId="7" state="hidden" r:id="rId7"/>
  </sheets>
  <definedNames>
    <definedName name="_xlnm._FilterDatabase" localSheetId="3" hidden="1">'Schleuderl.'!$H$10:$H$12</definedName>
    <definedName name="Anzahl">'Schleuderl.'!$J$5</definedName>
    <definedName name="Anzahl_Sl">'Schleuderl.'!$I$11:$I$12</definedName>
    <definedName name="az" localSheetId="5">'1'!$Z:$Z</definedName>
    <definedName name="az">' '!$Z:$Z</definedName>
    <definedName name="brut1">'Schleuderl.'!$L$11:$M$12</definedName>
    <definedName name="brut2">'Schleuderl.'!$Q$11:$R$12</definedName>
    <definedName name="brut3">'Schleuderl.'!$V$11:$W$12</definedName>
    <definedName name="brut4">'Schleuderl.'!$AA$11:$AB$12</definedName>
    <definedName name="brut5">'Schleuderl.'!$AF$11:$AG$12</definedName>
    <definedName name="brut6">'Schleuderl.'!$AK$11:$AL$12</definedName>
    <definedName name="DATABASE">'Schleuderl.'!$C$10:$AD$10</definedName>
    <definedName name="_xlnm.Print_Titles" localSheetId="6">' '!$1:$14</definedName>
    <definedName name="_xlnm.Print_Titles" localSheetId="5">'1'!$1:$14</definedName>
    <definedName name="_xlnm.Print_Titles" localSheetId="3">'Schleuderl.'!$A:$E,'Schleuderl.'!$1:$3</definedName>
    <definedName name="dur1">'Schleuderl.'!$N$5</definedName>
    <definedName name="dur2">'Schleuderl.'!$S$5</definedName>
    <definedName name="dur3">'Schleuderl.'!$X$5</definedName>
    <definedName name="dur4">'Schleuderl.'!$AC$5</definedName>
    <definedName name="dur5">'Schleuderl.'!$AH$5</definedName>
    <definedName name="dur6">'Schleuderl.'!$AM$5</definedName>
    <definedName name="durchschn">'Schleuderl.'!$G$5</definedName>
    <definedName name="Eigenverw">'Zuchtb.'!$8:$9</definedName>
    <definedName name="einfuegen">'Schleuderl.'!$B$12</definedName>
    <definedName name="Filtern">'Schleuderl.'!$H$8</definedName>
    <definedName name="Honig">'Schleuderl.'!$H$10:$H$12</definedName>
    <definedName name="Honig_St">'Standl.'!$X$7:$Y$7</definedName>
    <definedName name="Honigdurchbereich1" localSheetId="5">'1'!$H$33:$U$34</definedName>
    <definedName name="Honigdurchbereich1">' '!$H$33:$U$34</definedName>
    <definedName name="Honigdurchbereich2" localSheetId="5">'1'!$H$34</definedName>
    <definedName name="Honigdurchbereich2">' '!$H$34</definedName>
    <definedName name="Honigunten">'Schleuderl.'!$H$12</definedName>
    <definedName name="Netto_1">'Schleuderl.'!$N$11:$N$12</definedName>
    <definedName name="Netto_2">'Schleuderl.'!$S$11:$S$12</definedName>
    <definedName name="Netto_3">'Schleuderl.'!$X$11:$X$12</definedName>
    <definedName name="Netto_4">'Schleuderl.'!$AC$11:$AC$12</definedName>
    <definedName name="Netto_5">'Schleuderl.'!$AH$11:$AH$12</definedName>
    <definedName name="Netto_6">'Schleuderl.'!$AM$11:$AM$12</definedName>
    <definedName name="Netto_ges.">'Schleuderl.'!$G$11:$G$12</definedName>
    <definedName name="Nr_Sl">'Schleuderl.'!#REF!</definedName>
    <definedName name="Nummer">'Schleuderl.'!$B$11:$B$12</definedName>
    <definedName name="proz">'Schleuderl.'!$H$11:$H$12</definedName>
    <definedName name="proz1">'Schleuderl.'!$O$11:$O$12</definedName>
    <definedName name="proz2">'Schleuderl.'!$T$11:$T$12</definedName>
    <definedName name="proz3">'Schleuderl.'!$Y$11:$Y$12</definedName>
    <definedName name="proz4">'Schleuderl.'!$AD$11:$AD$12</definedName>
    <definedName name="proz5">'Schleuderl.'!$AI$11:$AI$12</definedName>
    <definedName name="proz6">'Schleuderl.'!$AN$11:$AN$12</definedName>
    <definedName name="Schlrechts">'Schleuderl.'!$AE$12</definedName>
    <definedName name="Sortieren">'Schleuderl.'!$B$10:$O$12</definedName>
    <definedName name="St.Anzahl">'Schleuderl.'!$J$11:$J$12</definedName>
    <definedName name="Stockkartebereich1" localSheetId="5">'1'!$C$15:$O$25</definedName>
    <definedName name="Stockkartebereich1">' '!$C$15:$O$25</definedName>
    <definedName name="Stockkartebereich2" localSheetId="5">'1'!$Q$15:$X$25</definedName>
    <definedName name="Stockkartebereich2">' '!$Q$15:$X$25</definedName>
    <definedName name="Stocknr">'Schleuderl.'!$D$11:$D$12</definedName>
    <definedName name="summenetto">'Schleuderl.'!$G$4</definedName>
    <definedName name="Zeile">'Schleuderl.'!#REF!</definedName>
    <definedName name="Zeile_Schl">'Schleuderl.'!$B$12:$AN$12</definedName>
    <definedName name="Zeile_schleu">'Schleuderl.'!$L$12:$M$12,'Schleuderl.'!$Q$12:$R$12,'Schleuderl.'!$V$12:$W$12,'Schleuderl.'!$AA$12:$AB$12,'Schleuderl.'!$AF$12:$AG$12,'Schleuderl.'!$AK$12:$AL$12</definedName>
    <definedName name="Zeile_Stk" localSheetId="5">'1'!$B$25</definedName>
    <definedName name="Zeile_Stk">' '!$B$25</definedName>
    <definedName name="Zeile_Stl">'Standl.'!$B$7:$AE$7</definedName>
    <definedName name="Zeile_Zb">'Zuchtb.'!$B$9:$Y$9</definedName>
  </definedNames>
  <calcPr fullCalcOnLoad="1"/>
</workbook>
</file>

<file path=xl/comments6.xml><?xml version="1.0" encoding="utf-8"?>
<comments xmlns="http://schemas.openxmlformats.org/spreadsheetml/2006/main">
  <authors>
    <author>franz</author>
  </authors>
  <commentList>
    <comment ref="B12" authorId="0">
      <text>
        <r>
          <rPr>
            <sz val="8"/>
            <rFont val="Tahoma"/>
            <family val="2"/>
          </rPr>
          <t>Geschütztes Feld -
Erscheint bei Datumeingabe</t>
        </r>
      </text>
    </comment>
    <comment ref="C12" authorId="0">
      <text>
        <r>
          <rPr>
            <sz val="8"/>
            <rFont val="Tahoma"/>
            <family val="2"/>
          </rPr>
          <t xml:space="preserve">Doppelklick = heutiges Datum
</t>
        </r>
      </text>
    </comment>
    <comment ref="D13" authorId="0">
      <text>
        <r>
          <rPr>
            <sz val="8"/>
            <rFont val="Tahoma"/>
            <family val="2"/>
          </rPr>
          <t>belagerte Wabe</t>
        </r>
      </text>
    </comment>
    <comment ref="I13" authorId="0">
      <text>
        <r>
          <rPr>
            <sz val="8"/>
            <rFont val="Tahoma"/>
            <family val="2"/>
          </rPr>
          <t>Sanftmut 1-4
(Siehe Tabelle rechts oben)</t>
        </r>
      </text>
    </comment>
    <comment ref="J13" authorId="0">
      <text>
        <r>
          <rPr>
            <sz val="8"/>
            <rFont val="Tahoma"/>
            <family val="2"/>
          </rPr>
          <t>Wabensitz 1-4
(Siehe Tabelle rechts oben)</t>
        </r>
      </text>
    </comment>
    <comment ref="K13" authorId="0">
      <text>
        <r>
          <rPr>
            <sz val="8"/>
            <rFont val="Tahoma"/>
            <family val="2"/>
          </rPr>
          <t>Schwarmneigung 1-4
(Siehe Tabelle rechts oben)</t>
        </r>
      </text>
    </comment>
    <comment ref="L13" authorId="0">
      <text>
        <r>
          <rPr>
            <sz val="8"/>
            <rFont val="Tahoma"/>
            <family val="2"/>
          </rPr>
          <t>Waben</t>
        </r>
      </text>
    </comment>
    <comment ref="M13" authorId="0">
      <text>
        <r>
          <rPr>
            <sz val="8"/>
            <rFont val="Tahoma"/>
            <family val="2"/>
          </rPr>
          <t>Mittelwand</t>
        </r>
      </text>
    </comment>
    <comment ref="N13" authorId="0">
      <text>
        <r>
          <rPr>
            <sz val="8"/>
            <rFont val="Tahoma"/>
            <family val="2"/>
          </rPr>
          <t>Brutwaben</t>
        </r>
      </text>
    </comment>
    <comment ref="E14" authorId="0">
      <text>
        <r>
          <rPr>
            <sz val="8"/>
            <rFont val="Tahoma"/>
            <family val="2"/>
          </rPr>
          <t>Wabenzahl</t>
        </r>
      </text>
    </comment>
    <comment ref="F14" authorId="0">
      <text>
        <r>
          <rPr>
            <sz val="8"/>
            <rFont val="Tahoma"/>
            <family val="2"/>
          </rPr>
          <t>Eier vorhanden</t>
        </r>
      </text>
    </comment>
    <comment ref="G14" authorId="0">
      <text>
        <r>
          <rPr>
            <sz val="8"/>
            <rFont val="Tahoma"/>
            <family val="2"/>
          </rPr>
          <t>offene Brut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sz val="8"/>
            <rFont val="Tahoma"/>
            <family val="2"/>
          </rPr>
          <t>verdeckelte Brut</t>
        </r>
      </text>
    </comment>
  </commentList>
</comments>
</file>

<file path=xl/comments7.xml><?xml version="1.0" encoding="utf-8"?>
<comments xmlns="http://schemas.openxmlformats.org/spreadsheetml/2006/main">
  <authors>
    <author>franz</author>
  </authors>
  <commentList>
    <comment ref="B12" authorId="0">
      <text>
        <r>
          <rPr>
            <sz val="8"/>
            <rFont val="Tahoma"/>
            <family val="2"/>
          </rPr>
          <t>Geschütztes Feld -
Erscheint bei Datumeingabe</t>
        </r>
      </text>
    </comment>
    <comment ref="C12" authorId="0">
      <text>
        <r>
          <rPr>
            <sz val="8"/>
            <rFont val="Tahoma"/>
            <family val="2"/>
          </rPr>
          <t xml:space="preserve">Doppelklick = heutiges Datum
</t>
        </r>
      </text>
    </comment>
    <comment ref="D13" authorId="0">
      <text>
        <r>
          <rPr>
            <sz val="8"/>
            <rFont val="Tahoma"/>
            <family val="2"/>
          </rPr>
          <t>belagerte Wabe</t>
        </r>
      </text>
    </comment>
    <comment ref="I13" authorId="0">
      <text>
        <r>
          <rPr>
            <sz val="8"/>
            <rFont val="Tahoma"/>
            <family val="2"/>
          </rPr>
          <t>Sanftmut 1-4
(Siehe Tabelle rechts oben)</t>
        </r>
      </text>
    </comment>
    <comment ref="J13" authorId="0">
      <text>
        <r>
          <rPr>
            <sz val="8"/>
            <rFont val="Tahoma"/>
            <family val="2"/>
          </rPr>
          <t>Wabensitz 1-4
(Siehe Tabelle rechts oben)</t>
        </r>
      </text>
    </comment>
    <comment ref="K13" authorId="0">
      <text>
        <r>
          <rPr>
            <sz val="8"/>
            <rFont val="Tahoma"/>
            <family val="2"/>
          </rPr>
          <t>Schwarmneigung 1-4
(Siehe Tabelle rechts oben)</t>
        </r>
      </text>
    </comment>
    <comment ref="L13" authorId="0">
      <text>
        <r>
          <rPr>
            <sz val="8"/>
            <rFont val="Tahoma"/>
            <family val="2"/>
          </rPr>
          <t>Waben</t>
        </r>
      </text>
    </comment>
    <comment ref="M13" authorId="0">
      <text>
        <r>
          <rPr>
            <sz val="8"/>
            <rFont val="Tahoma"/>
            <family val="2"/>
          </rPr>
          <t>Mittelwand</t>
        </r>
      </text>
    </comment>
    <comment ref="N13" authorId="0">
      <text>
        <r>
          <rPr>
            <sz val="8"/>
            <rFont val="Tahoma"/>
            <family val="2"/>
          </rPr>
          <t>Brutwaben</t>
        </r>
      </text>
    </comment>
    <comment ref="E14" authorId="0">
      <text>
        <r>
          <rPr>
            <sz val="8"/>
            <rFont val="Tahoma"/>
            <family val="2"/>
          </rPr>
          <t>Wabenzahl</t>
        </r>
      </text>
    </comment>
    <comment ref="F14" authorId="0">
      <text>
        <r>
          <rPr>
            <sz val="8"/>
            <rFont val="Tahoma"/>
            <family val="2"/>
          </rPr>
          <t>Eier vorhanden</t>
        </r>
      </text>
    </comment>
    <comment ref="G14" authorId="0">
      <text>
        <r>
          <rPr>
            <sz val="8"/>
            <rFont val="Tahoma"/>
            <family val="2"/>
          </rPr>
          <t>offene Brut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sz val="8"/>
            <rFont val="Tahoma"/>
            <family val="2"/>
          </rPr>
          <t>verdeckelte Brut</t>
        </r>
      </text>
    </comment>
  </commentList>
</comments>
</file>

<file path=xl/sharedStrings.xml><?xml version="1.0" encoding="utf-8"?>
<sst xmlns="http://schemas.openxmlformats.org/spreadsheetml/2006/main" count="430" uniqueCount="205">
  <si>
    <t>LW C</t>
  </si>
  <si>
    <t>Stockkarten</t>
  </si>
  <si>
    <t>LW G</t>
  </si>
  <si>
    <t xml:space="preserve"> für Imker</t>
  </si>
  <si>
    <t>Produktnr.</t>
  </si>
  <si>
    <t>Lizenznr.berechnung</t>
  </si>
  <si>
    <t>Lizenznr.</t>
  </si>
  <si>
    <t>Imker:</t>
  </si>
  <si>
    <t>NÖ-Landesimkerschule</t>
  </si>
  <si>
    <t>Diff</t>
  </si>
  <si>
    <t>Adresse :</t>
  </si>
  <si>
    <t>ACA-Betriebs-Nr.:</t>
  </si>
  <si>
    <t>Jahr:</t>
  </si>
  <si>
    <t>Stand :</t>
  </si>
  <si>
    <t>Höllental</t>
  </si>
  <si>
    <t>ab:</t>
  </si>
  <si>
    <t>Zählwerk</t>
  </si>
  <si>
    <t>erstellt von:</t>
  </si>
  <si>
    <t>Ing. Franz Ringhofer</t>
  </si>
  <si>
    <t>Tel:. 02629/2222-19</t>
  </si>
  <si>
    <t>Bildungszentrum Warth-Aichhof</t>
  </si>
  <si>
    <t>Download :</t>
  </si>
  <si>
    <t xml:space="preserve">Beschreibung </t>
  </si>
  <si>
    <t>Download</t>
  </si>
  <si>
    <r>
      <t>Dateinamen ab</t>
    </r>
    <r>
      <rPr>
        <sz val="10"/>
        <rFont val="MS Sans Serif"/>
        <family val="2"/>
      </rPr>
      <t>. Das Jahr und der Stand sollen aus dem Dateinamen</t>
    </r>
  </si>
  <si>
    <r>
      <t xml:space="preserve">hervorgehen. </t>
    </r>
    <r>
      <rPr>
        <b/>
        <sz val="10"/>
        <rFont val="MS Sans Serif"/>
        <family val="2"/>
      </rPr>
      <t>Jeder Stand soll mit einem Dateinamen abgespeichert werden</t>
    </r>
    <r>
      <rPr>
        <sz val="10"/>
        <rFont val="MS Sans Serif"/>
        <family val="2"/>
      </rPr>
      <t>.</t>
    </r>
  </si>
  <si>
    <t>Start</t>
  </si>
  <si>
    <t xml:space="preserve">Neue </t>
  </si>
  <si>
    <t>Sie möchten eine neue Stockkarte einfügen !</t>
  </si>
  <si>
    <t>Stockkarte</t>
  </si>
  <si>
    <t>einfügen</t>
  </si>
  <si>
    <t>Die "Honig kg" und "Honig%" werden von der Schleuderliste übernommen.</t>
  </si>
  <si>
    <t>Datum</t>
  </si>
  <si>
    <r>
      <t xml:space="preserve">In der Spalte C jeder Stockkarte kann mit einem </t>
    </r>
    <r>
      <rPr>
        <b/>
        <sz val="10"/>
        <rFont val="MS Sans Serif"/>
        <family val="2"/>
      </rPr>
      <t xml:space="preserve">Doppelklick </t>
    </r>
    <r>
      <rPr>
        <sz val="10"/>
        <rFont val="MS Sans Serif"/>
        <family val="2"/>
      </rPr>
      <t>das</t>
    </r>
    <r>
      <rPr>
        <b/>
        <sz val="10"/>
        <rFont val="MS Sans Serif"/>
        <family val="2"/>
      </rPr>
      <t xml:space="preserve"> heutige Datum</t>
    </r>
    <r>
      <rPr>
        <sz val="10"/>
        <rFont val="MS Sans Serif"/>
        <family val="2"/>
      </rPr>
      <t xml:space="preserve"> </t>
    </r>
  </si>
  <si>
    <t>eingetragen werden.</t>
  </si>
  <si>
    <t>Eine</t>
  </si>
  <si>
    <t>Sie möchten eine Stockkarte löschen !</t>
  </si>
  <si>
    <t>löschen</t>
  </si>
  <si>
    <t>Standliste</t>
  </si>
  <si>
    <t>Daten der Stockkarte werden in die Standliste übernommen !</t>
  </si>
  <si>
    <t>Die Honigleistung "Honig kg früh" und "Honig kg gesamt" werden</t>
  </si>
  <si>
    <t>vom Blatt "Schleuderl." übernommen</t>
  </si>
  <si>
    <t>Zuchtbuch</t>
  </si>
  <si>
    <t>Daten der Stockkarte werden in das Zuchtbuch übernommen !</t>
  </si>
  <si>
    <t>Um Könniginnen einzutragen, welche nicht zur Eigenverwendung gehören,</t>
  </si>
  <si>
    <t>muß man eine Zeile einfügen. Durch anklicken der Schaltfläche "+Zeile"</t>
  </si>
  <si>
    <t>(oder mit Stg+z) wird eine Zeile einfügt.</t>
  </si>
  <si>
    <t>Durch anklicken der Schaltfläche "-Zeile"(oder Strg+o) kann man eine Zeile" löschen.</t>
  </si>
  <si>
    <t>Zeilen mit Verwendung "Eigenverwendung" kann man so nicht löschen.</t>
  </si>
  <si>
    <t>Um eine solche Zeile zu löschen, muß man die Stockkarte löschen.</t>
  </si>
  <si>
    <t>Schleuder-</t>
  </si>
  <si>
    <t>Hier werden Wabenzahl, Brutto und Tara eingetragen und</t>
  </si>
  <si>
    <t>liste</t>
  </si>
  <si>
    <t>die Anzahl der Schleuderungen aus der der "Honig früh" berechnet wird.</t>
  </si>
  <si>
    <t>Alles andere wird automatisch berechnet</t>
  </si>
  <si>
    <t>"Honig kg" und "Honig%" werden in die Stockkarten übernommen.</t>
  </si>
  <si>
    <t>Honig ges. und Honig Früh wird in die Standliste übernommen.</t>
  </si>
  <si>
    <t>Sie möchten besten Völker (15%) herausfiltern !</t>
  </si>
  <si>
    <t>danach die Zahl (unter Stockanzahl) eingeben</t>
  </si>
  <si>
    <t xml:space="preserve">Schneller </t>
  </si>
  <si>
    <t>Sie möchten schnell zur Stockkarte wechseln !</t>
  </si>
  <si>
    <t>wechsel</t>
  </si>
  <si>
    <t xml:space="preserve">Von den Blättern: Zuchtbuch (Blatt "Zuchtb."), Schleuderliste (Blatt "Schleuderl.") oder </t>
  </si>
  <si>
    <t>zur Stockkarte</t>
  </si>
  <si>
    <t>Standliste (Blatt "Standl.") kommt man am schnellsten zur Stockkarte, wenn man einen</t>
  </si>
  <si>
    <t>Doppelklick auf den Namen der Stockkarte macht.</t>
  </si>
  <si>
    <t>Viel Erfolg wünscht Franz Ringhofer !</t>
  </si>
  <si>
    <t xml:space="preserve"> </t>
  </si>
  <si>
    <t>Z U C H T B U C H</t>
  </si>
  <si>
    <t>Königin</t>
  </si>
  <si>
    <t>Mutter</t>
  </si>
  <si>
    <t>Vatermutter</t>
  </si>
  <si>
    <t>Beleg-
stelle</t>
  </si>
  <si>
    <t>Begat-
tungs-
käst-chennr.</t>
  </si>
  <si>
    <t>Stock-
nr.</t>
  </si>
  <si>
    <t>Lebensnr.</t>
  </si>
  <si>
    <t>Priv. Zucht-
buchnr.</t>
  </si>
  <si>
    <t>Linie</t>
  </si>
  <si>
    <t>Zuchtwert</t>
  </si>
  <si>
    <t>Verwendung</t>
  </si>
  <si>
    <t>Eigenverwendung</t>
  </si>
  <si>
    <t>S C H L E U D E R L I S T E</t>
  </si>
  <si>
    <t>Summe:</t>
  </si>
  <si>
    <t>Summe :</t>
  </si>
  <si>
    <t>15% der</t>
  </si>
  <si>
    <t>ø :</t>
  </si>
  <si>
    <t xml:space="preserve"> =100%</t>
  </si>
  <si>
    <t>Stock-
anzahl:</t>
  </si>
  <si>
    <t>1.</t>
  </si>
  <si>
    <t>Datum:</t>
  </si>
  <si>
    <t>2.</t>
  </si>
  <si>
    <t>3.</t>
  </si>
  <si>
    <t>4.</t>
  </si>
  <si>
    <t xml:space="preserve">  15% =</t>
  </si>
  <si>
    <t>Honigart :</t>
  </si>
  <si>
    <t>Nr.</t>
  </si>
  <si>
    <t>Stock-
 nr.:</t>
  </si>
  <si>
    <t>Anzahl früh</t>
  </si>
  <si>
    <t>Honig
früh</t>
  </si>
  <si>
    <t>Honig ges.</t>
  </si>
  <si>
    <t>%</t>
  </si>
  <si>
    <t>Anzahl Schl.</t>
  </si>
  <si>
    <t>Anzahl</t>
  </si>
  <si>
    <t>Wabenzahl</t>
  </si>
  <si>
    <t>Brutto</t>
  </si>
  <si>
    <t>Tara</t>
  </si>
  <si>
    <t>Netto</t>
  </si>
  <si>
    <t>S T A N D L I S T E</t>
  </si>
  <si>
    <t>Honig</t>
  </si>
  <si>
    <t>I</t>
  </si>
  <si>
    <t>Sa</t>
  </si>
  <si>
    <t>Ws</t>
  </si>
  <si>
    <t>Sn</t>
  </si>
  <si>
    <t>kg früh</t>
  </si>
  <si>
    <t>kg ges.</t>
  </si>
  <si>
    <t>VH</t>
  </si>
  <si>
    <t>VA</t>
  </si>
  <si>
    <t>VT</t>
  </si>
  <si>
    <t>BW</t>
  </si>
  <si>
    <t>Varr.</t>
  </si>
  <si>
    <t>Verbleib.</t>
  </si>
  <si>
    <t>Imker :</t>
  </si>
  <si>
    <t>S T O C K K A R T E</t>
  </si>
  <si>
    <t>Anschrift:</t>
  </si>
  <si>
    <t>Stand:</t>
  </si>
  <si>
    <t>Bodennr. (Stocknr.) :</t>
  </si>
  <si>
    <t>Lebensnr.:</t>
  </si>
  <si>
    <t>Sanftmut</t>
  </si>
  <si>
    <t xml:space="preserve"> -  Sa</t>
  </si>
  <si>
    <t>sehr sanft</t>
  </si>
  <si>
    <t>sanft</t>
  </si>
  <si>
    <t>sticht</t>
  </si>
  <si>
    <t>sehr böse</t>
  </si>
  <si>
    <t>Priv. Zuchtb.-Nr.:</t>
  </si>
  <si>
    <t>ACA-Zuchtw. Honig:</t>
  </si>
  <si>
    <t>Zuchtw. Honig:</t>
  </si>
  <si>
    <t>Wabensitz</t>
  </si>
  <si>
    <t xml:space="preserve"> -  Ws</t>
  </si>
  <si>
    <t>sehr ruhig</t>
  </si>
  <si>
    <t>ruhig</t>
  </si>
  <si>
    <t>läuft</t>
  </si>
  <si>
    <t>läuft stark</t>
  </si>
  <si>
    <t>Linie:</t>
  </si>
  <si>
    <t>Schwarm-
neigung</t>
  </si>
  <si>
    <t xml:space="preserve"> -  Sn</t>
  </si>
  <si>
    <t>keine</t>
  </si>
  <si>
    <t>best.o.
off.Wz.</t>
  </si>
  <si>
    <t>Eingriff
getätigt</t>
  </si>
  <si>
    <t>ge-
schwärmt</t>
  </si>
  <si>
    <t>Züchtername:</t>
  </si>
  <si>
    <t>Belegstelle:</t>
  </si>
  <si>
    <t>allgemeiner Befund</t>
  </si>
  <si>
    <t>Anmerkungen</t>
  </si>
  <si>
    <t>bel.W.</t>
  </si>
  <si>
    <t>Brutwabe</t>
  </si>
  <si>
    <t>W</t>
  </si>
  <si>
    <t>MW</t>
  </si>
  <si>
    <t>Brut</t>
  </si>
  <si>
    <t>Bienen
kg</t>
  </si>
  <si>
    <t>Honig
kg</t>
  </si>
  <si>
    <t>Zucker
kg</t>
  </si>
  <si>
    <t>Ei</t>
  </si>
  <si>
    <t>o</t>
  </si>
  <si>
    <t>v</t>
  </si>
  <si>
    <t>Stocknr.</t>
  </si>
  <si>
    <t>Zuchbuchnr.</t>
  </si>
  <si>
    <t>Mu Lbnsnr.</t>
  </si>
  <si>
    <t>Mu Zuchtw. H</t>
  </si>
  <si>
    <t>Mu Linie</t>
  </si>
  <si>
    <t>VaMu Lbnsnr.</t>
  </si>
  <si>
    <t>VaMu Zuchtw.</t>
  </si>
  <si>
    <t>VaMu Linie</t>
  </si>
  <si>
    <t>Belegstelle</t>
  </si>
  <si>
    <t>Jahr :</t>
  </si>
  <si>
    <t>ø</t>
  </si>
  <si>
    <t xml:space="preserve">Summe  </t>
  </si>
  <si>
    <t>Möchten Sie wieder alles sehen, so filtern Sie "Alle"</t>
  </si>
  <si>
    <t>Filter-Schaltfeld" (Zelle "H10") - anklicken und "Top 10.." filtern.</t>
  </si>
  <si>
    <r>
      <t xml:space="preserve">Der </t>
    </r>
    <r>
      <rPr>
        <b/>
        <sz val="10"/>
        <rFont val="MS Sans Serif"/>
        <family val="2"/>
      </rPr>
      <t>geänderte Blattname</t>
    </r>
    <r>
      <rPr>
        <sz val="10"/>
        <rFont val="MS Sans Serif"/>
        <family val="2"/>
      </rPr>
      <t xml:space="preserve"> wird </t>
    </r>
    <r>
      <rPr>
        <b/>
        <sz val="10"/>
        <rFont val="MS Sans Serif"/>
        <family val="2"/>
      </rPr>
      <t>als Bodenr.</t>
    </r>
    <r>
      <rPr>
        <sz val="10"/>
        <rFont val="MS Sans Serif"/>
        <family val="2"/>
      </rPr>
      <t xml:space="preserve"> (Stocknr.) in Zelle E6 </t>
    </r>
    <r>
      <rPr>
        <b/>
        <sz val="10"/>
        <rFont val="MS Sans Serif"/>
        <family val="2"/>
      </rPr>
      <t>übernommen</t>
    </r>
    <r>
      <rPr>
        <sz val="10"/>
        <rFont val="MS Sans Serif"/>
        <family val="2"/>
      </rPr>
      <t>.</t>
    </r>
  </si>
  <si>
    <t>Freeware</t>
  </si>
  <si>
    <t>ringhofer@schule.at</t>
  </si>
  <si>
    <t>Dieses Programm können von der Website</t>
  </si>
  <si>
    <t>herunterladen und kostenlos verwenden (Freeware).</t>
  </si>
  <si>
    <t>5.</t>
  </si>
  <si>
    <t>6.</t>
  </si>
  <si>
    <r>
      <t xml:space="preserve">Mit </t>
    </r>
    <r>
      <rPr>
        <b/>
        <sz val="10"/>
        <color indexed="10"/>
        <rFont val="MS Sans Serif"/>
        <family val="2"/>
      </rPr>
      <t>Strg+l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oder mit der </t>
    </r>
    <r>
      <rPr>
        <b/>
        <sz val="10"/>
        <rFont val="MS Sans Serif"/>
        <family val="2"/>
      </rPr>
      <t>rechten Maustaste auf einen Blattnamen klicken  -</t>
    </r>
  </si>
  <si>
    <r>
      <t xml:space="preserve">"Neue Stockkarte einfügen ... " </t>
    </r>
    <r>
      <rPr>
        <sz val="10"/>
        <rFont val="MS Sans Serif"/>
        <family val="2"/>
      </rPr>
      <t xml:space="preserve">oder auf </t>
    </r>
    <r>
      <rPr>
        <b/>
        <sz val="10"/>
        <rFont val="MS Sans Serif"/>
        <family val="2"/>
      </rPr>
      <t>"</t>
    </r>
    <r>
      <rPr>
        <b/>
        <sz val="10"/>
        <color indexed="17"/>
        <rFont val="MS Sans Serif"/>
        <family val="2"/>
      </rPr>
      <t>Stockkarte</t>
    </r>
    <r>
      <rPr>
        <b/>
        <sz val="10"/>
        <rFont val="MS Sans Serif"/>
        <family val="2"/>
      </rPr>
      <t>" - "</t>
    </r>
    <r>
      <rPr>
        <b/>
        <sz val="10"/>
        <color indexed="17"/>
        <rFont val="MS Sans Serif"/>
        <family val="2"/>
      </rPr>
      <t xml:space="preserve">Neue Stockkarte </t>
    </r>
  </si>
  <si>
    <r>
      <t xml:space="preserve">hinzufügen" </t>
    </r>
    <r>
      <rPr>
        <sz val="10"/>
        <color indexed="17"/>
        <rFont val="MS Sans Serif"/>
        <family val="2"/>
      </rPr>
      <t>(in Excel 2007 nicht möglich)</t>
    </r>
    <r>
      <rPr>
        <sz val="10"/>
        <rFont val="MS Sans Serif"/>
        <family val="2"/>
      </rPr>
      <t xml:space="preserve"> wird ein neues Blatt hinzugefügt.</t>
    </r>
  </si>
  <si>
    <r>
      <t>"</t>
    </r>
    <r>
      <rPr>
        <b/>
        <sz val="10"/>
        <rFont val="MS Sans Serif"/>
        <family val="2"/>
      </rPr>
      <t>Dieses Tabellenblatt löschen ...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 xml:space="preserve">" </t>
    </r>
    <r>
      <rPr>
        <sz val="10"/>
        <rFont val="MS Sans Serif"/>
        <family val="2"/>
      </rPr>
      <t>oder</t>
    </r>
    <r>
      <rPr>
        <b/>
        <sz val="10"/>
        <rFont val="MS Sans Serif"/>
        <family val="2"/>
      </rPr>
      <t xml:space="preserve"> "</t>
    </r>
    <r>
      <rPr>
        <b/>
        <sz val="10"/>
        <color indexed="17"/>
        <rFont val="MS Sans Serif"/>
        <family val="2"/>
      </rPr>
      <t>Stockkarte</t>
    </r>
    <r>
      <rPr>
        <b/>
        <sz val="10"/>
        <rFont val="MS Sans Serif"/>
        <family val="2"/>
      </rPr>
      <t>" - "</t>
    </r>
    <r>
      <rPr>
        <b/>
        <sz val="10"/>
        <color indexed="17"/>
        <rFont val="MS Sans Serif"/>
        <family val="2"/>
      </rPr>
      <t xml:space="preserve">Diese Stockkarte </t>
    </r>
  </si>
  <si>
    <r>
      <t>löschen" (in Excel 2007 nicht möglich)</t>
    </r>
    <r>
      <rPr>
        <sz val="10"/>
        <color indexed="8"/>
        <rFont val="MS Sans Serif"/>
        <family val="2"/>
      </rPr>
      <t xml:space="preserve"> wird die aktive Stockkarte gelöscht.</t>
    </r>
  </si>
  <si>
    <r>
      <t xml:space="preserve">Mit </t>
    </r>
    <r>
      <rPr>
        <b/>
        <sz val="10"/>
        <color indexed="10"/>
        <rFont val="MS Sans Serif"/>
        <family val="2"/>
      </rPr>
      <t>Strg+n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oder mit der </t>
    </r>
    <r>
      <rPr>
        <b/>
        <sz val="10"/>
        <rFont val="MS Sans Serif"/>
        <family val="2"/>
      </rPr>
      <t>rechten Maustaste auf einen Blattnamen klicken  -</t>
    </r>
  </si>
  <si>
    <t>Name der</t>
  </si>
  <si>
    <t>ändern</t>
  </si>
  <si>
    <t>Sie möchten den Namen der Stockkarte ändern !</t>
  </si>
  <si>
    <r>
      <t xml:space="preserve">Mit </t>
    </r>
    <r>
      <rPr>
        <b/>
        <sz val="10"/>
        <color indexed="10"/>
        <rFont val="MS Sans Serif"/>
        <family val="2"/>
      </rPr>
      <t>Strg+e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oder mit der </t>
    </r>
    <r>
      <rPr>
        <b/>
        <sz val="10"/>
        <rFont val="MS Sans Serif"/>
        <family val="2"/>
      </rPr>
      <t>rechten Maustaste auf einen Blattnamen klicken  -</t>
    </r>
  </si>
  <si>
    <r>
      <t xml:space="preserve">"Stockkartenname ändern ... " </t>
    </r>
    <r>
      <rPr>
        <sz val="10"/>
        <rFont val="MS Sans Serif"/>
        <family val="2"/>
      </rPr>
      <t xml:space="preserve">oder auf </t>
    </r>
    <r>
      <rPr>
        <b/>
        <sz val="10"/>
        <rFont val="MS Sans Serif"/>
        <family val="2"/>
      </rPr>
      <t>"</t>
    </r>
    <r>
      <rPr>
        <b/>
        <sz val="10"/>
        <color indexed="17"/>
        <rFont val="MS Sans Serif"/>
        <family val="2"/>
      </rPr>
      <t>Stockkarte</t>
    </r>
    <r>
      <rPr>
        <b/>
        <sz val="10"/>
        <rFont val="MS Sans Serif"/>
        <family val="2"/>
      </rPr>
      <t>" - "</t>
    </r>
    <r>
      <rPr>
        <b/>
        <sz val="10"/>
        <color indexed="17"/>
        <rFont val="MS Sans Serif"/>
        <family val="2"/>
      </rPr>
      <t xml:space="preserve">Stockkartenname </t>
    </r>
  </si>
  <si>
    <r>
      <t xml:space="preserve">ändern" </t>
    </r>
    <r>
      <rPr>
        <sz val="10"/>
        <color indexed="17"/>
        <rFont val="MS Sans Serif"/>
        <family val="2"/>
      </rPr>
      <t>(in Excel 2007 nicht möglich)</t>
    </r>
    <r>
      <rPr>
        <sz val="10"/>
        <rFont val="MS Sans Serif"/>
        <family val="2"/>
      </rPr>
      <t xml:space="preserve"> kann der Blattname geändert werden.</t>
    </r>
  </si>
  <si>
    <t>Aichhof 1, 2831 Warth</t>
  </si>
  <si>
    <t>in Zusammenarbeit mit der</t>
  </si>
  <si>
    <t>Imkerschule Warth</t>
  </si>
  <si>
    <t xml:space="preserve">Speichern Sie die Datei Stockkarte-2011 unter einen sinnvollen </t>
  </si>
  <si>
    <r>
      <t xml:space="preserve">Beim Starten von "Stockkarte-2011" - </t>
    </r>
    <r>
      <rPr>
        <b/>
        <sz val="10"/>
        <color indexed="10"/>
        <rFont val="MS Sans Serif"/>
        <family val="2"/>
      </rPr>
      <t>Makros aktivieren.</t>
    </r>
  </si>
  <si>
    <t>gegeben +            genommen -</t>
  </si>
  <si>
    <t>Version 2.0.11</t>
  </si>
  <si>
    <t>http://lfs.at.vu/software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</si>
</sst>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00,000,000"/>
    <numFmt numFmtId="195" formatCode="0.0"/>
    <numFmt numFmtId="196" formatCode="0.00\ \ "/>
    <numFmt numFmtId="197" formatCode="000"/>
    <numFmt numFmtId="198" formatCode="mmm/yyyy"/>
    <numFmt numFmtId="199" formatCode="#,##0.0_ ;\-#,##0.0\ "/>
    <numFmt numFmtId="200" formatCode="#,##0_ ;\-#,##0\ "/>
    <numFmt numFmtId="201" formatCode="_-* #,##0.0_-;\-* #,##0.0_-;_-* &quot;-&quot;??_-;_-@_-"/>
    <numFmt numFmtId="202" formatCode="_-* #,##0_-;\-* #,##0_-;_-* &quot;-&quot;??_-;_-@_-"/>
    <numFmt numFmtId="203" formatCode="0.000"/>
    <numFmt numFmtId="204" formatCode="0.0000"/>
  </numFmts>
  <fonts count="92">
    <font>
      <sz val="10"/>
      <name val="Arial"/>
      <family val="0"/>
    </font>
    <font>
      <b/>
      <sz val="10"/>
      <color indexed="10"/>
      <name val="Arial"/>
      <family val="2"/>
    </font>
    <font>
      <sz val="8"/>
      <color indexed="56"/>
      <name val="Arial"/>
      <family val="2"/>
    </font>
    <font>
      <sz val="14"/>
      <color indexed="18"/>
      <name val="Arial"/>
      <family val="2"/>
    </font>
    <font>
      <sz val="9"/>
      <color indexed="56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  <font>
      <sz val="10"/>
      <name val="Arial Narrow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30"/>
      <name val="Arial"/>
      <family val="2"/>
    </font>
    <font>
      <sz val="9"/>
      <name val="Arial Narrow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9"/>
      <color indexed="9"/>
      <name val="Arial"/>
      <family val="2"/>
    </font>
    <font>
      <sz val="9"/>
      <color indexed="18"/>
      <name val="Arial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sz val="16"/>
      <name val="MS Sans Serif"/>
      <family val="2"/>
    </font>
    <font>
      <b/>
      <sz val="10"/>
      <name val="MS Sans Serif"/>
      <family val="2"/>
    </font>
    <font>
      <b/>
      <sz val="16"/>
      <name val="MS Sans Serif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9"/>
      <color indexed="6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sz val="10"/>
      <color indexed="8"/>
      <name val="MS Sans Serif"/>
      <family val="2"/>
    </font>
    <font>
      <u val="single"/>
      <sz val="14"/>
      <color indexed="12"/>
      <name val="MS Sans Serif"/>
      <family val="2"/>
    </font>
    <font>
      <u val="single"/>
      <sz val="12"/>
      <color indexed="12"/>
      <name val="MS Sans Serif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8"/>
      <name val="Tahoma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504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3" fontId="12" fillId="33" borderId="13" xfId="0" applyNumberFormat="1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/>
      <protection/>
    </xf>
    <xf numFmtId="3" fontId="12" fillId="33" borderId="12" xfId="0" applyNumberFormat="1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center"/>
      <protection/>
    </xf>
    <xf numFmtId="0" fontId="12" fillId="33" borderId="15" xfId="0" applyNumberFormat="1" applyFont="1" applyFill="1" applyBorder="1" applyAlignment="1" applyProtection="1">
      <alignment horizontal="center" vertical="center"/>
      <protection/>
    </xf>
    <xf numFmtId="3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9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Continuous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3" fontId="12" fillId="34" borderId="19" xfId="0" applyNumberFormat="1" applyFont="1" applyFill="1" applyBorder="1" applyAlignment="1" applyProtection="1">
      <alignment horizontal="center" vertical="center"/>
      <protection/>
    </xf>
    <xf numFmtId="0" fontId="12" fillId="34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horizontal="centerContinuous" vertical="center"/>
      <protection/>
    </xf>
    <xf numFmtId="0" fontId="13" fillId="33" borderId="21" xfId="0" applyNumberFormat="1" applyFont="1" applyFill="1" applyBorder="1" applyAlignment="1" applyProtection="1">
      <alignment horizontal="centerContinuous" vertical="center"/>
      <protection/>
    </xf>
    <xf numFmtId="0" fontId="13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13" fillId="33" borderId="18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14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 applyProtection="1">
      <alignment horizontal="center" vertical="center"/>
      <protection hidden="1"/>
    </xf>
    <xf numFmtId="0" fontId="31" fillId="0" borderId="0" xfId="0" applyFont="1" applyAlignment="1">
      <alignment horizontal="centerContinuous" vertical="center"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 wrapText="1"/>
      <protection/>
    </xf>
    <xf numFmtId="0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35" fillId="0" borderId="30" xfId="0" applyNumberFormat="1" applyFont="1" applyBorder="1" applyAlignment="1" applyProtection="1">
      <alignment horizontal="center" vertical="center"/>
      <protection/>
    </xf>
    <xf numFmtId="1" fontId="17" fillId="0" borderId="31" xfId="0" applyNumberFormat="1" applyFont="1" applyFill="1" applyBorder="1" applyAlignment="1" applyProtection="1">
      <alignment horizontal="center" vertical="center"/>
      <protection locked="0"/>
    </xf>
    <xf numFmtId="1" fontId="17" fillId="0" borderId="32" xfId="0" applyNumberFormat="1" applyFont="1" applyFill="1" applyBorder="1" applyAlignment="1" applyProtection="1">
      <alignment horizontal="center" vertical="center"/>
      <protection locked="0"/>
    </xf>
    <xf numFmtId="1" fontId="17" fillId="0" borderId="33" xfId="0" applyNumberFormat="1" applyFont="1" applyFill="1" applyBorder="1" applyAlignment="1" applyProtection="1">
      <alignment horizontal="center" vertical="center"/>
      <protection locked="0"/>
    </xf>
    <xf numFmtId="1" fontId="17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Border="1" applyAlignment="1">
      <alignment horizontal="right" vertical="center" textRotation="90"/>
    </xf>
    <xf numFmtId="0" fontId="19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2" fontId="33" fillId="0" borderId="31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Continuous" vertical="center"/>
      <protection hidden="1"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36" xfId="0" applyNumberFormat="1" applyFont="1" applyFill="1" applyBorder="1" applyAlignment="1" applyProtection="1">
      <alignment horizontal="center" vertical="center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38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left" vertical="center"/>
    </xf>
    <xf numFmtId="49" fontId="17" fillId="0" borderId="34" xfId="0" applyNumberFormat="1" applyFont="1" applyFill="1" applyBorder="1" applyAlignment="1" applyProtection="1">
      <alignment horizontal="center" vertical="center"/>
      <protection locked="0"/>
    </xf>
    <xf numFmtId="49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 horizontal="center" vertical="center"/>
      <protection hidden="1"/>
    </xf>
    <xf numFmtId="49" fontId="17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hidden="1"/>
    </xf>
    <xf numFmtId="1" fontId="19" fillId="0" borderId="31" xfId="0" applyNumberFormat="1" applyFont="1" applyBorder="1" applyAlignment="1" applyProtection="1">
      <alignment horizontal="center" vertical="center"/>
      <protection/>
    </xf>
    <xf numFmtId="1" fontId="19" fillId="0" borderId="33" xfId="0" applyNumberFormat="1" applyFont="1" applyFill="1" applyBorder="1" applyAlignment="1" applyProtection="1">
      <alignment horizontal="center" vertical="center"/>
      <protection locked="0"/>
    </xf>
    <xf numFmtId="1" fontId="19" fillId="0" borderId="34" xfId="0" applyNumberFormat="1" applyFont="1" applyFill="1" applyBorder="1" applyAlignment="1" applyProtection="1">
      <alignment horizontal="center" vertical="center"/>
      <protection locked="0"/>
    </xf>
    <xf numFmtId="1" fontId="19" fillId="0" borderId="32" xfId="0" applyNumberFormat="1" applyFont="1" applyFill="1" applyBorder="1" applyAlignment="1" applyProtection="1">
      <alignment horizontal="center" vertical="center"/>
      <protection locked="0"/>
    </xf>
    <xf numFmtId="1" fontId="19" fillId="0" borderId="32" xfId="0" applyNumberFormat="1" applyFont="1" applyBorder="1" applyAlignment="1" applyProtection="1">
      <alignment horizontal="center" vertical="center"/>
      <protection/>
    </xf>
    <xf numFmtId="195" fontId="19" fillId="0" borderId="37" xfId="0" applyNumberFormat="1" applyFont="1" applyFill="1" applyBorder="1" applyAlignment="1" applyProtection="1">
      <alignment horizontal="center" vertical="center"/>
      <protection locked="0"/>
    </xf>
    <xf numFmtId="1" fontId="19" fillId="0" borderId="40" xfId="0" applyNumberFormat="1" applyFont="1" applyFill="1" applyBorder="1" applyAlignment="1" applyProtection="1">
      <alignment horizontal="center" vertical="center"/>
      <protection locked="0"/>
    </xf>
    <xf numFmtId="195" fontId="19" fillId="0" borderId="0" xfId="0" applyNumberFormat="1" applyFont="1" applyAlignment="1" applyProtection="1">
      <alignment horizontal="center" vertical="center"/>
      <protection hidden="1"/>
    </xf>
    <xf numFmtId="1" fontId="19" fillId="0" borderId="0" xfId="0" applyNumberFormat="1" applyFont="1" applyAlignment="1" applyProtection="1">
      <alignment horizontal="center" vertical="center"/>
      <protection hidden="1"/>
    </xf>
    <xf numFmtId="2" fontId="19" fillId="0" borderId="41" xfId="0" applyNumberFormat="1" applyFont="1" applyFill="1" applyBorder="1" applyAlignment="1" applyProtection="1">
      <alignment horizontal="center" vertical="center"/>
      <protection locked="0"/>
    </xf>
    <xf numFmtId="2" fontId="19" fillId="0" borderId="38" xfId="0" applyNumberFormat="1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NumberFormat="1" applyFont="1" applyAlignment="1" applyProtection="1">
      <alignment horizontal="center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0" fontId="35" fillId="0" borderId="0" xfId="0" applyFont="1" applyAlignment="1">
      <alignment horizontal="center" vertical="center"/>
    </xf>
    <xf numFmtId="1" fontId="12" fillId="0" borderId="31" xfId="0" applyNumberFormat="1" applyFont="1" applyBorder="1" applyAlignment="1" applyProtection="1">
      <alignment horizontal="center" vertical="center"/>
      <protection/>
    </xf>
    <xf numFmtId="1" fontId="12" fillId="0" borderId="30" xfId="0" applyNumberFormat="1" applyFont="1" applyBorder="1" applyAlignment="1" applyProtection="1">
      <alignment horizontal="center" vertical="center"/>
      <protection/>
    </xf>
    <xf numFmtId="1" fontId="12" fillId="0" borderId="32" xfId="0" applyNumberFormat="1" applyFont="1" applyBorder="1" applyAlignment="1" applyProtection="1">
      <alignment horizontal="center" vertical="center"/>
      <protection/>
    </xf>
    <xf numFmtId="195" fontId="0" fillId="0" borderId="0" xfId="0" applyNumberFormat="1" applyFont="1" applyAlignment="1">
      <alignment vertical="center"/>
    </xf>
    <xf numFmtId="195" fontId="13" fillId="33" borderId="18" xfId="0" applyNumberFormat="1" applyFont="1" applyFill="1" applyBorder="1" applyAlignment="1" applyProtection="1">
      <alignment horizontal="center" vertical="center" wrapText="1"/>
      <protection/>
    </xf>
    <xf numFmtId="195" fontId="12" fillId="34" borderId="19" xfId="0" applyNumberFormat="1" applyFont="1" applyFill="1" applyBorder="1" applyAlignment="1" applyProtection="1">
      <alignment horizontal="center" vertical="center" wrapText="1"/>
      <protection/>
    </xf>
    <xf numFmtId="195" fontId="19" fillId="0" borderId="31" xfId="0" applyNumberFormat="1" applyFont="1" applyBorder="1" applyAlignment="1" applyProtection="1">
      <alignment horizontal="center" vertical="center"/>
      <protection/>
    </xf>
    <xf numFmtId="195" fontId="12" fillId="0" borderId="31" xfId="0" applyNumberFormat="1" applyFont="1" applyBorder="1" applyAlignment="1" applyProtection="1">
      <alignment horizontal="center" vertical="center"/>
      <protection/>
    </xf>
    <xf numFmtId="195" fontId="12" fillId="0" borderId="0" xfId="0" applyNumberFormat="1" applyFont="1" applyAlignment="1" applyProtection="1">
      <alignment horizontal="center" vertical="center"/>
      <protection hidden="1"/>
    </xf>
    <xf numFmtId="195" fontId="35" fillId="0" borderId="0" xfId="0" applyNumberFormat="1" applyFont="1" applyAlignment="1" applyProtection="1">
      <alignment horizontal="center" vertical="center"/>
      <protection hidden="1"/>
    </xf>
    <xf numFmtId="195" fontId="16" fillId="0" borderId="0" xfId="0" applyNumberFormat="1" applyFont="1" applyAlignment="1" applyProtection="1">
      <alignment horizontal="center" vertical="center"/>
      <protection hidden="1"/>
    </xf>
    <xf numFmtId="1" fontId="17" fillId="0" borderId="39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vertical="center"/>
    </xf>
    <xf numFmtId="0" fontId="13" fillId="33" borderId="4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33" borderId="35" xfId="0" applyNumberFormat="1" applyFont="1" applyFill="1" applyBorder="1" applyAlignment="1" applyProtection="1">
      <alignment horizontal="centerContinuous" vertical="center" wrapText="1"/>
      <protection/>
    </xf>
    <xf numFmtId="0" fontId="12" fillId="0" borderId="0" xfId="0" applyFont="1" applyAlignment="1">
      <alignment horizontal="centerContinuous" vertical="center"/>
    </xf>
    <xf numFmtId="0" fontId="41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9" fontId="0" fillId="0" borderId="0" xfId="5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Continuous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195" fontId="29" fillId="0" borderId="12" xfId="0" applyNumberFormat="1" applyFont="1" applyBorder="1" applyAlignment="1" applyProtection="1">
      <alignment horizontal="right" vertical="center"/>
      <protection hidden="1"/>
    </xf>
    <xf numFmtId="195" fontId="1" fillId="0" borderId="13" xfId="0" applyNumberFormat="1" applyFont="1" applyBorder="1" applyAlignment="1" applyProtection="1">
      <alignment horizontal="center" vertical="center"/>
      <protection hidden="1"/>
    </xf>
    <xf numFmtId="9" fontId="1" fillId="0" borderId="14" xfId="51" applyFont="1" applyBorder="1" applyAlignment="1" applyProtection="1">
      <alignment vertical="center"/>
      <protection hidden="1"/>
    </xf>
    <xf numFmtId="195" fontId="1" fillId="0" borderId="15" xfId="48" applyNumberFormat="1" applyFont="1" applyBorder="1" applyAlignment="1" applyProtection="1">
      <alignment horizontal="center" vertical="center"/>
      <protection hidden="1"/>
    </xf>
    <xf numFmtId="1" fontId="7" fillId="0" borderId="0" xfId="48" applyNumberFormat="1" applyFont="1" applyBorder="1" applyAlignment="1" applyProtection="1">
      <alignment horizontal="center" vertical="center"/>
      <protection hidden="1"/>
    </xf>
    <xf numFmtId="195" fontId="30" fillId="0" borderId="14" xfId="0" applyNumberFormat="1" applyFont="1" applyBorder="1" applyAlignment="1" applyProtection="1">
      <alignment horizontal="centerContinuous" vertical="center"/>
      <protection hidden="1"/>
    </xf>
    <xf numFmtId="195" fontId="30" fillId="0" borderId="44" xfId="0" applyNumberFormat="1" applyFont="1" applyBorder="1" applyAlignment="1" applyProtection="1">
      <alignment horizontal="centerContinuous" vertical="center"/>
      <protection hidden="1"/>
    </xf>
    <xf numFmtId="195" fontId="30" fillId="0" borderId="19" xfId="0" applyNumberFormat="1" applyFont="1" applyBorder="1" applyAlignment="1" applyProtection="1">
      <alignment horizontal="centerContinuous" vertical="center"/>
      <protection hidden="1"/>
    </xf>
    <xf numFmtId="195" fontId="28" fillId="0" borderId="13" xfId="0" applyNumberFormat="1" applyFont="1" applyBorder="1" applyAlignment="1" applyProtection="1">
      <alignment vertical="center"/>
      <protection hidden="1"/>
    </xf>
    <xf numFmtId="9" fontId="28" fillId="0" borderId="13" xfId="51" applyFont="1" applyBorder="1" applyAlignment="1" applyProtection="1">
      <alignment vertical="center"/>
      <protection hidden="1"/>
    </xf>
    <xf numFmtId="195" fontId="30" fillId="0" borderId="45" xfId="0" applyNumberFormat="1" applyFont="1" applyBorder="1" applyAlignment="1" applyProtection="1">
      <alignment horizontal="centerContinuous" vertical="center"/>
      <protection hidden="1"/>
    </xf>
    <xf numFmtId="195" fontId="30" fillId="0" borderId="46" xfId="0" applyNumberFormat="1" applyFont="1" applyBorder="1" applyAlignment="1" applyProtection="1">
      <alignment horizontal="centerContinuous" vertical="center"/>
      <protection hidden="1"/>
    </xf>
    <xf numFmtId="9" fontId="28" fillId="0" borderId="14" xfId="5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195" fontId="1" fillId="0" borderId="0" xfId="0" applyNumberFormat="1" applyFont="1" applyBorder="1" applyAlignment="1" applyProtection="1">
      <alignment vertical="center"/>
      <protection hidden="1"/>
    </xf>
    <xf numFmtId="9" fontId="1" fillId="0" borderId="0" xfId="51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horizontal="center" vertical="center"/>
      <protection hidden="1"/>
    </xf>
    <xf numFmtId="2" fontId="32" fillId="0" borderId="0" xfId="0" applyNumberFormat="1" applyFont="1" applyAlignment="1" applyProtection="1">
      <alignment vertical="center"/>
      <protection hidden="1"/>
    </xf>
    <xf numFmtId="0" fontId="6" fillId="0" borderId="4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Continuous" vertical="center"/>
      <protection hidden="1"/>
    </xf>
    <xf numFmtId="0" fontId="6" fillId="0" borderId="48" xfId="0" applyFont="1" applyBorder="1" applyAlignment="1" applyProtection="1">
      <alignment horizontal="centerContinuous" vertical="center"/>
      <protection hidden="1"/>
    </xf>
    <xf numFmtId="0" fontId="11" fillId="33" borderId="43" xfId="0" applyFont="1" applyFill="1" applyBorder="1" applyAlignment="1" applyProtection="1">
      <alignment horizontal="center" vertical="center"/>
      <protection hidden="1"/>
    </xf>
    <xf numFmtId="0" fontId="7" fillId="33" borderId="49" xfId="0" applyFont="1" applyFill="1" applyBorder="1" applyAlignment="1" applyProtection="1">
      <alignment horizontal="center" vertical="center"/>
      <protection hidden="1"/>
    </xf>
    <xf numFmtId="49" fontId="7" fillId="33" borderId="50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51" xfId="0" applyFont="1" applyFill="1" applyBorder="1" applyAlignment="1" applyProtection="1">
      <alignment horizontal="center" vertical="center" textRotation="90" wrapText="1"/>
      <protection hidden="1"/>
    </xf>
    <xf numFmtId="0" fontId="7" fillId="33" borderId="43" xfId="0" applyFont="1" applyFill="1" applyBorder="1" applyAlignment="1" applyProtection="1">
      <alignment horizontal="center" vertical="center" wrapText="1"/>
      <protection hidden="1"/>
    </xf>
    <xf numFmtId="0" fontId="7" fillId="33" borderId="52" xfId="0" applyFont="1" applyFill="1" applyBorder="1" applyAlignment="1" applyProtection="1">
      <alignment horizontal="center" vertical="center" wrapText="1"/>
      <protection hidden="1"/>
    </xf>
    <xf numFmtId="0" fontId="7" fillId="33" borderId="42" xfId="0" applyFont="1" applyFill="1" applyBorder="1" applyAlignment="1" applyProtection="1">
      <alignment horizontal="center" vertical="center" wrapText="1"/>
      <protection hidden="1"/>
    </xf>
    <xf numFmtId="0" fontId="12" fillId="33" borderId="51" xfId="0" applyFont="1" applyFill="1" applyBorder="1" applyAlignment="1" applyProtection="1">
      <alignment horizontal="center" vertical="center" textRotation="90" wrapText="1"/>
      <protection hidden="1"/>
    </xf>
    <xf numFmtId="0" fontId="11" fillId="33" borderId="43" xfId="0" applyFont="1" applyFill="1" applyBorder="1" applyAlignment="1" applyProtection="1">
      <alignment horizontal="center" vertical="center" textRotation="90" wrapText="1"/>
      <protection hidden="1"/>
    </xf>
    <xf numFmtId="0" fontId="7" fillId="33" borderId="51" xfId="0" applyFont="1" applyFill="1" applyBorder="1" applyAlignment="1" applyProtection="1">
      <alignment horizontal="center" vertical="center" textRotation="90" wrapText="1"/>
      <protection hidden="1"/>
    </xf>
    <xf numFmtId="9" fontId="7" fillId="33" borderId="51" xfId="51" applyFont="1" applyFill="1" applyBorder="1" applyAlignment="1" applyProtection="1">
      <alignment horizontal="center" vertical="center"/>
      <protection hidden="1"/>
    </xf>
    <xf numFmtId="9" fontId="7" fillId="33" borderId="52" xfId="5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14" fontId="6" fillId="0" borderId="53" xfId="0" applyNumberFormat="1" applyFont="1" applyBorder="1" applyAlignment="1" applyProtection="1">
      <alignment horizontal="center" vertical="center"/>
      <protection hidden="1"/>
    </xf>
    <xf numFmtId="49" fontId="0" fillId="0" borderId="54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vertical="center"/>
      <protection hidden="1"/>
    </xf>
    <xf numFmtId="2" fontId="0" fillId="0" borderId="32" xfId="0" applyNumberFormat="1" applyFont="1" applyBorder="1" applyAlignment="1" applyProtection="1">
      <alignment horizontal="center" vertical="center"/>
      <protection hidden="1"/>
    </xf>
    <xf numFmtId="9" fontId="0" fillId="0" borderId="55" xfId="51" applyFont="1" applyBorder="1" applyAlignment="1" applyProtection="1">
      <alignment horizontal="center" vertical="center"/>
      <protection hidden="1"/>
    </xf>
    <xf numFmtId="1" fontId="0" fillId="0" borderId="56" xfId="0" applyNumberFormat="1" applyFont="1" applyFill="1" applyBorder="1" applyAlignment="1" applyProtection="1">
      <alignment horizontal="center" vertical="center"/>
      <protection hidden="1"/>
    </xf>
    <xf numFmtId="2" fontId="6" fillId="0" borderId="31" xfId="0" applyNumberFormat="1" applyFont="1" applyFill="1" applyBorder="1" applyAlignment="1" applyProtection="1">
      <alignment horizontal="center" vertical="center"/>
      <protection hidden="1"/>
    </xf>
    <xf numFmtId="9" fontId="24" fillId="0" borderId="31" xfId="51" applyFont="1" applyFill="1" applyBorder="1" applyAlignment="1" applyProtection="1">
      <alignment horizontal="center" vertical="center"/>
      <protection hidden="1"/>
    </xf>
    <xf numFmtId="9" fontId="24" fillId="0" borderId="32" xfId="51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vertical="center"/>
      <protection hidden="1"/>
    </xf>
    <xf numFmtId="1" fontId="0" fillId="0" borderId="57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34" fillId="34" borderId="0" xfId="0" applyFont="1" applyFill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 wrapText="1"/>
      <protection hidden="1"/>
    </xf>
    <xf numFmtId="1" fontId="33" fillId="0" borderId="5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 quotePrefix="1">
      <alignment horizontal="left" vertical="center"/>
    </xf>
    <xf numFmtId="0" fontId="39" fillId="0" borderId="0" xfId="0" applyFont="1" applyAlignment="1" quotePrefix="1">
      <alignment horizontal="left" vertical="center"/>
    </xf>
    <xf numFmtId="0" fontId="12" fillId="0" borderId="0" xfId="0" applyFont="1" applyAlignment="1" applyProtection="1">
      <alignment vertical="center"/>
      <protection/>
    </xf>
    <xf numFmtId="14" fontId="12" fillId="0" borderId="0" xfId="0" applyNumberFormat="1" applyFont="1" applyAlignment="1" applyProtection="1">
      <alignment vertical="center"/>
      <protection/>
    </xf>
    <xf numFmtId="196" fontId="12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196" fontId="12" fillId="0" borderId="0" xfId="0" applyNumberFormat="1" applyFont="1" applyAlignment="1" applyProtection="1">
      <alignment horizontal="right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4" fontId="12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left" vertical="center"/>
      <protection/>
    </xf>
    <xf numFmtId="14" fontId="20" fillId="0" borderId="0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Continuous" vertical="center"/>
      <protection/>
    </xf>
    <xf numFmtId="0" fontId="8" fillId="0" borderId="21" xfId="0" applyFont="1" applyBorder="1" applyAlignment="1" applyProtection="1">
      <alignment horizontal="centerContinuous" vertical="center"/>
      <protection/>
    </xf>
    <xf numFmtId="0" fontId="8" fillId="0" borderId="58" xfId="0" applyFont="1" applyBorder="1" applyAlignment="1" applyProtection="1">
      <alignment horizontal="centerContinuous" vertical="center"/>
      <protection/>
    </xf>
    <xf numFmtId="0" fontId="8" fillId="0" borderId="49" xfId="0" applyFont="1" applyBorder="1" applyAlignment="1" applyProtection="1">
      <alignment horizontal="centerContinuous" vertical="center"/>
      <protection/>
    </xf>
    <xf numFmtId="0" fontId="8" fillId="0" borderId="42" xfId="0" applyFont="1" applyBorder="1" applyAlignment="1" applyProtection="1">
      <alignment horizontal="centerContinuous" vertical="center"/>
      <protection/>
    </xf>
    <xf numFmtId="4" fontId="14" fillId="0" borderId="20" xfId="0" applyNumberFormat="1" applyFont="1" applyBorder="1" applyAlignment="1" applyProtection="1">
      <alignment horizontal="center" vertical="center"/>
      <protection/>
    </xf>
    <xf numFmtId="4" fontId="14" fillId="0" borderId="58" xfId="0" applyNumberFormat="1" applyFont="1" applyBorder="1" applyAlignment="1" applyProtection="1">
      <alignment horizontal="center" vertical="center"/>
      <protection/>
    </xf>
    <xf numFmtId="1" fontId="12" fillId="0" borderId="51" xfId="0" applyNumberFormat="1" applyFont="1" applyBorder="1" applyAlignment="1" applyProtection="1">
      <alignment horizontal="center" vertical="center"/>
      <protection/>
    </xf>
    <xf numFmtId="1" fontId="12" fillId="0" borderId="52" xfId="0" applyNumberFormat="1" applyFont="1" applyBorder="1" applyAlignment="1" applyProtection="1">
      <alignment horizontal="center" vertic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14" fillId="0" borderId="30" xfId="0" applyNumberFormat="1" applyFont="1" applyBorder="1" applyAlignment="1" applyProtection="1">
      <alignment horizontal="center" vertical="center"/>
      <protection/>
    </xf>
    <xf numFmtId="4" fontId="12" fillId="0" borderId="34" xfId="0" applyNumberFormat="1" applyFont="1" applyBorder="1" applyAlignment="1" applyProtection="1">
      <alignment horizontal="left" vertical="center"/>
      <protection/>
    </xf>
    <xf numFmtId="4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14" fontId="20" fillId="0" borderId="0" xfId="0" applyNumberFormat="1" applyFont="1" applyAlignment="1" applyProtection="1">
      <alignment horizontal="left" vertical="center"/>
      <protection/>
    </xf>
    <xf numFmtId="14" fontId="17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9" fontId="17" fillId="0" borderId="0" xfId="0" applyNumberFormat="1" applyFont="1" applyAlignment="1" applyProtection="1">
      <alignment horizontal="left" vertical="center"/>
      <protection/>
    </xf>
    <xf numFmtId="4" fontId="12" fillId="33" borderId="21" xfId="0" applyNumberFormat="1" applyFont="1" applyFill="1" applyBorder="1" applyAlignment="1" applyProtection="1">
      <alignment horizontal="centerContinuous" vertical="center"/>
      <protection/>
    </xf>
    <xf numFmtId="4" fontId="12" fillId="33" borderId="20" xfId="0" applyNumberFormat="1" applyFont="1" applyFill="1" applyBorder="1" applyAlignment="1" applyProtection="1">
      <alignment horizontal="centerContinuous" vertical="center"/>
      <protection/>
    </xf>
    <xf numFmtId="2" fontId="17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12" fillId="33" borderId="53" xfId="0" applyNumberFormat="1" applyFont="1" applyFill="1" applyBorder="1" applyAlignment="1" applyProtection="1">
      <alignment horizontal="centerContinuous" vertical="center"/>
      <protection/>
    </xf>
    <xf numFmtId="4" fontId="12" fillId="33" borderId="56" xfId="0" applyNumberFormat="1" applyFont="1" applyFill="1" applyBorder="1" applyAlignment="1" applyProtection="1">
      <alignment horizontal="centerContinuous" vertical="center"/>
      <protection/>
    </xf>
    <xf numFmtId="2" fontId="12" fillId="33" borderId="13" xfId="0" applyNumberFormat="1" applyFont="1" applyFill="1" applyBorder="1" applyAlignment="1" applyProtection="1">
      <alignment horizontal="center" vertical="center"/>
      <protection/>
    </xf>
    <xf numFmtId="14" fontId="12" fillId="33" borderId="13" xfId="0" applyNumberFormat="1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Continuous" vertical="center"/>
      <protection/>
    </xf>
    <xf numFmtId="14" fontId="17" fillId="0" borderId="42" xfId="0" applyNumberFormat="1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1" fontId="17" fillId="0" borderId="43" xfId="0" applyNumberFormat="1" applyFont="1" applyBorder="1" applyAlignment="1" applyProtection="1">
      <alignment horizontal="center" vertical="center"/>
      <protection locked="0"/>
    </xf>
    <xf numFmtId="1" fontId="17" fillId="0" borderId="51" xfId="0" applyNumberFormat="1" applyFont="1" applyBorder="1" applyAlignment="1" applyProtection="1">
      <alignment horizontal="center" vertical="center"/>
      <protection locked="0"/>
    </xf>
    <xf numFmtId="1" fontId="17" fillId="0" borderId="52" xfId="0" applyNumberFormat="1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Continuous" vertical="center"/>
      <protection/>
    </xf>
    <xf numFmtId="14" fontId="17" fillId="0" borderId="59" xfId="0" applyNumberFormat="1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1" fontId="17" fillId="0" borderId="33" xfId="0" applyNumberFormat="1" applyFont="1" applyBorder="1" applyAlignment="1" applyProtection="1">
      <alignment horizontal="center" vertical="center"/>
      <protection locked="0"/>
    </xf>
    <xf numFmtId="1" fontId="17" fillId="0" borderId="31" xfId="0" applyNumberFormat="1" applyFont="1" applyBorder="1" applyAlignment="1" applyProtection="1">
      <alignment horizontal="center" vertical="center"/>
      <protection locked="0"/>
    </xf>
    <xf numFmtId="1" fontId="17" fillId="0" borderId="32" xfId="0" applyNumberFormat="1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centerContinuous" vertical="center"/>
      <protection/>
    </xf>
    <xf numFmtId="0" fontId="12" fillId="0" borderId="30" xfId="0" applyFont="1" applyBorder="1" applyAlignment="1" applyProtection="1">
      <alignment horizontal="centerContinuous" vertical="center"/>
      <protection/>
    </xf>
    <xf numFmtId="0" fontId="12" fillId="0" borderId="56" xfId="0" applyFont="1" applyBorder="1" applyAlignment="1" applyProtection="1">
      <alignment horizontal="centerContinuous" vertical="center"/>
      <protection/>
    </xf>
    <xf numFmtId="0" fontId="12" fillId="0" borderId="55" xfId="0" applyFont="1" applyBorder="1" applyAlignment="1" applyProtection="1">
      <alignment horizontal="centerContinuous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Continuous" vertical="center"/>
      <protection/>
    </xf>
    <xf numFmtId="2" fontId="12" fillId="0" borderId="31" xfId="0" applyNumberFormat="1" applyFont="1" applyBorder="1" applyAlignment="1" applyProtection="1">
      <alignment horizontal="center" vertical="center"/>
      <protection/>
    </xf>
    <xf numFmtId="9" fontId="12" fillId="0" borderId="32" xfId="0" applyNumberFormat="1" applyFont="1" applyBorder="1" applyAlignment="1" applyProtection="1">
      <alignment horizontal="center" vertical="center"/>
      <protection/>
    </xf>
    <xf numFmtId="9" fontId="12" fillId="0" borderId="31" xfId="0" applyNumberFormat="1" applyFont="1" applyBorder="1" applyAlignment="1" applyProtection="1">
      <alignment horizontal="center" vertical="center"/>
      <protection/>
    </xf>
    <xf numFmtId="195" fontId="19" fillId="0" borderId="53" xfId="0" applyNumberFormat="1" applyFont="1" applyBorder="1" applyAlignment="1" applyProtection="1">
      <alignment horizontal="left" vertical="center"/>
      <protection/>
    </xf>
    <xf numFmtId="1" fontId="43" fillId="0" borderId="16" xfId="0" applyNumberFormat="1" applyFont="1" applyBorder="1" applyAlignment="1" applyProtection="1">
      <alignment horizontal="center" vertical="center"/>
      <protection/>
    </xf>
    <xf numFmtId="9" fontId="12" fillId="0" borderId="13" xfId="0" applyNumberFormat="1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Continuous" vertical="center"/>
      <protection/>
    </xf>
    <xf numFmtId="0" fontId="12" fillId="0" borderId="61" xfId="0" applyFont="1" applyBorder="1" applyAlignment="1" applyProtection="1">
      <alignment horizontal="center" vertical="center"/>
      <protection/>
    </xf>
    <xf numFmtId="0" fontId="12" fillId="0" borderId="61" xfId="0" applyFont="1" applyBorder="1" applyAlignment="1" applyProtection="1">
      <alignment horizontal="left" vertical="center"/>
      <protection/>
    </xf>
    <xf numFmtId="0" fontId="12" fillId="0" borderId="61" xfId="0" applyFont="1" applyBorder="1" applyAlignment="1" applyProtection="1">
      <alignment horizontal="centerContinuous" vertical="center"/>
      <protection/>
    </xf>
    <xf numFmtId="195" fontId="42" fillId="0" borderId="62" xfId="0" applyNumberFormat="1" applyFont="1" applyBorder="1" applyAlignment="1" applyProtection="1">
      <alignment horizontal="center" vertical="center"/>
      <protection/>
    </xf>
    <xf numFmtId="195" fontId="12" fillId="0" borderId="63" xfId="0" applyNumberFormat="1" applyFont="1" applyBorder="1" applyAlignment="1" applyProtection="1">
      <alignment horizontal="centerContinuous" vertical="center"/>
      <protection/>
    </xf>
    <xf numFmtId="195" fontId="12" fillId="0" borderId="64" xfId="0" applyNumberFormat="1" applyFont="1" applyBorder="1" applyAlignment="1" applyProtection="1">
      <alignment horizontal="centerContinuous" vertical="center"/>
      <protection/>
    </xf>
    <xf numFmtId="1" fontId="12" fillId="0" borderId="65" xfId="0" applyNumberFormat="1" applyFont="1" applyBorder="1" applyAlignment="1" applyProtection="1">
      <alignment horizontal="centerContinuous" vertical="center"/>
      <protection/>
    </xf>
    <xf numFmtId="0" fontId="12" fillId="0" borderId="66" xfId="0" applyFont="1" applyBorder="1" applyAlignment="1" applyProtection="1">
      <alignment horizontal="right"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2" fontId="12" fillId="0" borderId="62" xfId="0" applyNumberFormat="1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9" fontId="12" fillId="0" borderId="17" xfId="0" applyNumberFormat="1" applyFont="1" applyBorder="1" applyAlignment="1" applyProtection="1">
      <alignment horizontal="center" vertical="center"/>
      <protection/>
    </xf>
    <xf numFmtId="195" fontId="19" fillId="0" borderId="23" xfId="0" applyNumberFormat="1" applyFont="1" applyBorder="1" applyAlignment="1" applyProtection="1">
      <alignment horizontal="left" vertical="center"/>
      <protection/>
    </xf>
    <xf numFmtId="195" fontId="44" fillId="0" borderId="48" xfId="0" applyNumberFormat="1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centerContinuous" vertical="center"/>
      <protection/>
    </xf>
    <xf numFmtId="0" fontId="12" fillId="0" borderId="36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95" fontId="19" fillId="0" borderId="62" xfId="0" applyNumberFormat="1" applyFont="1" applyBorder="1" applyAlignment="1" applyProtection="1">
      <alignment horizontal="left" vertical="center"/>
      <protection/>
    </xf>
    <xf numFmtId="195" fontId="42" fillId="0" borderId="61" xfId="0" applyNumberFormat="1" applyFont="1" applyBorder="1" applyAlignment="1" applyProtection="1">
      <alignment horizontal="left" vertical="center"/>
      <protection/>
    </xf>
    <xf numFmtId="0" fontId="12" fillId="0" borderId="67" xfId="0" applyFont="1" applyBorder="1" applyAlignment="1" applyProtection="1">
      <alignment horizontal="centerContinuous" vertical="center"/>
      <protection/>
    </xf>
    <xf numFmtId="49" fontId="12" fillId="0" borderId="0" xfId="0" applyNumberFormat="1" applyFont="1" applyAlignment="1" applyProtection="1">
      <alignment horizontal="center" vertical="center"/>
      <protection hidden="1"/>
    </xf>
    <xf numFmtId="195" fontId="12" fillId="0" borderId="51" xfId="0" applyNumberFormat="1" applyFont="1" applyBorder="1" applyAlignment="1" applyProtection="1">
      <alignment horizontal="center" vertical="center"/>
      <protection hidden="1"/>
    </xf>
    <xf numFmtId="9" fontId="12" fillId="0" borderId="52" xfId="51" applyFont="1" applyBorder="1" applyAlignment="1" applyProtection="1">
      <alignment vertical="center"/>
      <protection hidden="1"/>
    </xf>
    <xf numFmtId="9" fontId="12" fillId="0" borderId="35" xfId="51" applyFont="1" applyBorder="1" applyAlignment="1" applyProtection="1">
      <alignment vertical="center"/>
      <protection hidden="1"/>
    </xf>
    <xf numFmtId="9" fontId="12" fillId="0" borderId="0" xfId="5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horizontal="centerContinuous" vertical="center"/>
      <protection hidden="1"/>
    </xf>
    <xf numFmtId="1" fontId="12" fillId="0" borderId="20" xfId="0" applyNumberFormat="1" applyFont="1" applyBorder="1" applyAlignment="1" applyProtection="1">
      <alignment horizontal="centerContinuous" vertical="center"/>
      <protection hidden="1"/>
    </xf>
    <xf numFmtId="1" fontId="12" fillId="0" borderId="58" xfId="0" applyNumberFormat="1" applyFont="1" applyBorder="1" applyAlignment="1" applyProtection="1">
      <alignment horizontal="centerContinuous" vertical="center"/>
      <protection hidden="1"/>
    </xf>
    <xf numFmtId="195" fontId="12" fillId="0" borderId="51" xfId="0" applyNumberFormat="1" applyFont="1" applyBorder="1" applyAlignment="1" applyProtection="1">
      <alignment vertical="center"/>
      <protection hidden="1"/>
    </xf>
    <xf numFmtId="9" fontId="12" fillId="0" borderId="51" xfId="51" applyFont="1" applyBorder="1" applyAlignment="1" applyProtection="1">
      <alignment vertical="center"/>
      <protection hidden="1"/>
    </xf>
    <xf numFmtId="1" fontId="12" fillId="0" borderId="21" xfId="0" applyNumberFormat="1" applyFont="1" applyBorder="1" applyAlignment="1" applyProtection="1">
      <alignment horizontal="centerContinuous" vertical="center"/>
      <protection hidden="1"/>
    </xf>
    <xf numFmtId="0" fontId="36" fillId="0" borderId="0" xfId="0" applyFont="1" applyBorder="1" applyAlignment="1" quotePrefix="1">
      <alignment horizontal="left" vertical="center"/>
    </xf>
    <xf numFmtId="195" fontId="17" fillId="0" borderId="68" xfId="0" applyNumberFormat="1" applyFont="1" applyBorder="1" applyAlignment="1" applyProtection="1">
      <alignment horizontal="center" vertical="center"/>
      <protection/>
    </xf>
    <xf numFmtId="14" fontId="17" fillId="0" borderId="69" xfId="0" applyNumberFormat="1" applyFont="1" applyBorder="1" applyAlignment="1" applyProtection="1">
      <alignment horizontal="center" vertical="center"/>
      <protection locked="0"/>
    </xf>
    <xf numFmtId="1" fontId="17" fillId="0" borderId="70" xfId="0" applyNumberFormat="1" applyFont="1" applyBorder="1" applyAlignment="1" applyProtection="1">
      <alignment horizontal="center" vertical="center"/>
      <protection locked="0"/>
    </xf>
    <xf numFmtId="1" fontId="17" fillId="0" borderId="68" xfId="0" applyNumberFormat="1" applyFont="1" applyBorder="1" applyAlignment="1" applyProtection="1">
      <alignment horizontal="center" vertical="center"/>
      <protection locked="0"/>
    </xf>
    <xf numFmtId="1" fontId="17" fillId="0" borderId="71" xfId="0" applyNumberFormat="1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1" fontId="12" fillId="0" borderId="47" xfId="0" applyNumberFormat="1" applyFont="1" applyBorder="1" applyAlignment="1" applyProtection="1">
      <alignment horizontal="left" vertical="center"/>
      <protection locked="0"/>
    </xf>
    <xf numFmtId="1" fontId="12" fillId="0" borderId="69" xfId="0" applyNumberFormat="1" applyFont="1" applyBorder="1" applyAlignment="1" applyProtection="1">
      <alignment horizontal="left" vertical="center"/>
      <protection locked="0"/>
    </xf>
    <xf numFmtId="14" fontId="17" fillId="0" borderId="55" xfId="0" applyNumberFormat="1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9" fillId="0" borderId="70" xfId="0" applyFont="1" applyBorder="1" applyAlignment="1" applyProtection="1">
      <alignment horizontal="centerContinuous" vertical="center"/>
      <protection/>
    </xf>
    <xf numFmtId="0" fontId="17" fillId="0" borderId="68" xfId="0" applyFont="1" applyBorder="1" applyAlignment="1" applyProtection="1">
      <alignment horizontal="center" vertical="center"/>
      <protection locked="0"/>
    </xf>
    <xf numFmtId="0" fontId="17" fillId="0" borderId="71" xfId="0" applyFont="1" applyBorder="1" applyAlignment="1" applyProtection="1">
      <alignment horizontal="center" vertical="center"/>
      <protection locked="0"/>
    </xf>
    <xf numFmtId="195" fontId="17" fillId="0" borderId="31" xfId="0" applyNumberFormat="1" applyFont="1" applyBorder="1" applyAlignment="1" applyProtection="1">
      <alignment horizontal="center" vertical="center"/>
      <protection/>
    </xf>
    <xf numFmtId="2" fontId="0" fillId="0" borderId="54" xfId="0" applyNumberForma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Continuous" vertical="center"/>
      <protection/>
    </xf>
    <xf numFmtId="14" fontId="19" fillId="0" borderId="69" xfId="0" applyNumberFormat="1" applyFont="1" applyBorder="1" applyAlignment="1" applyProtection="1">
      <alignment horizontal="center" vertical="center"/>
      <protection/>
    </xf>
    <xf numFmtId="14" fontId="19" fillId="0" borderId="55" xfId="0" applyNumberFormat="1" applyFont="1" applyBorder="1" applyAlignment="1" applyProtection="1">
      <alignment horizontal="center" vertical="center"/>
      <protection/>
    </xf>
    <xf numFmtId="2" fontId="17" fillId="0" borderId="31" xfId="0" applyNumberFormat="1" applyFont="1" applyBorder="1" applyAlignment="1" applyProtection="1">
      <alignment horizontal="center" vertical="center"/>
      <protection/>
    </xf>
    <xf numFmtId="1" fontId="43" fillId="0" borderId="30" xfId="0" applyNumberFormat="1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Continuous" vertical="center"/>
      <protection/>
    </xf>
    <xf numFmtId="2" fontId="12" fillId="0" borderId="17" xfId="0" applyNumberFormat="1" applyFont="1" applyBorder="1" applyAlignment="1" applyProtection="1">
      <alignment horizontal="center" vertical="center"/>
      <protection/>
    </xf>
    <xf numFmtId="9" fontId="12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9" fontId="12" fillId="0" borderId="73" xfId="0" applyNumberFormat="1" applyFont="1" applyBorder="1" applyAlignment="1" applyProtection="1">
      <alignment horizontal="center" vertical="center"/>
      <protection/>
    </xf>
    <xf numFmtId="9" fontId="12" fillId="0" borderId="64" xfId="0" applyNumberFormat="1" applyFont="1" applyBorder="1" applyAlignment="1" applyProtection="1">
      <alignment horizontal="center" vertical="center"/>
      <protection/>
    </xf>
    <xf numFmtId="2" fontId="0" fillId="0" borderId="0" xfId="51" applyNumberFormat="1" applyFont="1" applyAlignment="1" applyProtection="1">
      <alignment horizontal="center" vertical="center"/>
      <protection hidden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9" fontId="24" fillId="0" borderId="53" xfId="51" applyFont="1" applyFill="1" applyBorder="1" applyAlignment="1" applyProtection="1">
      <alignment horizontal="center" vertical="center"/>
      <protection hidden="1"/>
    </xf>
    <xf numFmtId="1" fontId="33" fillId="0" borderId="33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51" fillId="0" borderId="0" xfId="47" applyFont="1" applyAlignment="1" applyProtection="1">
      <alignment horizontal="centerContinuous" vertical="center"/>
      <protection hidden="1"/>
    </xf>
    <xf numFmtId="0" fontId="22" fillId="0" borderId="0" xfId="0" applyFont="1" applyBorder="1" applyAlignment="1" applyProtection="1">
      <alignment horizontal="left" vertical="center"/>
      <protection locked="0"/>
    </xf>
    <xf numFmtId="14" fontId="22" fillId="0" borderId="0" xfId="0" applyNumberFormat="1" applyFont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" vertical="center"/>
    </xf>
    <xf numFmtId="0" fontId="57" fillId="0" borderId="0" xfId="47" applyFont="1" applyAlignment="1" applyProtection="1">
      <alignment horizontal="left" vertical="center"/>
      <protection hidden="1"/>
    </xf>
    <xf numFmtId="0" fontId="50" fillId="0" borderId="0" xfId="47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 quotePrefix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3" fontId="6" fillId="33" borderId="26" xfId="0" applyNumberFormat="1" applyFont="1" applyFill="1" applyBorder="1" applyAlignment="1" applyProtection="1">
      <alignment horizontal="center" vertical="center" wrapText="1"/>
      <protection/>
    </xf>
    <xf numFmtId="3" fontId="6" fillId="3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left" vertical="center"/>
      <protection hidden="1"/>
    </xf>
    <xf numFmtId="0" fontId="0" fillId="0" borderId="59" xfId="0" applyFont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6" fillId="0" borderId="74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14" fontId="23" fillId="0" borderId="21" xfId="0" applyNumberFormat="1" applyFont="1" applyBorder="1" applyAlignment="1" applyProtection="1">
      <alignment horizontal="center" vertical="center"/>
      <protection locked="0"/>
    </xf>
    <xf numFmtId="14" fontId="23" fillId="0" borderId="42" xfId="0" applyNumberFormat="1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left" vertical="center"/>
      <protection hidden="1" locked="0"/>
    </xf>
    <xf numFmtId="0" fontId="23" fillId="0" borderId="36" xfId="0" applyFont="1" applyBorder="1" applyAlignment="1" applyProtection="1">
      <alignment horizontal="left" vertical="center"/>
      <protection hidden="1" locked="0"/>
    </xf>
    <xf numFmtId="49" fontId="12" fillId="0" borderId="53" xfId="0" applyNumberFormat="1" applyFont="1" applyBorder="1" applyAlignment="1" applyProtection="1">
      <alignment horizontal="right" vertical="center"/>
      <protection/>
    </xf>
    <xf numFmtId="49" fontId="12" fillId="0" borderId="56" xfId="0" applyNumberFormat="1" applyFont="1" applyBorder="1" applyAlignment="1" applyProtection="1">
      <alignment horizontal="right" vertical="center"/>
      <protection/>
    </xf>
    <xf numFmtId="0" fontId="12" fillId="0" borderId="53" xfId="0" applyFont="1" applyBorder="1" applyAlignment="1" applyProtection="1">
      <alignment horizontal="right" vertical="center"/>
      <protection/>
    </xf>
    <xf numFmtId="0" fontId="12" fillId="0" borderId="56" xfId="0" applyFont="1" applyBorder="1" applyAlignment="1" applyProtection="1">
      <alignment horizontal="right" vertical="center"/>
      <protection/>
    </xf>
    <xf numFmtId="0" fontId="12" fillId="0" borderId="30" xfId="0" applyFont="1" applyBorder="1" applyAlignment="1" applyProtection="1">
      <alignment horizontal="right" vertical="center"/>
      <protection/>
    </xf>
    <xf numFmtId="49" fontId="17" fillId="0" borderId="56" xfId="0" applyNumberFormat="1" applyFont="1" applyBorder="1" applyAlignment="1" applyProtection="1">
      <alignment horizontal="left" vertical="center"/>
      <protection locked="0"/>
    </xf>
    <xf numFmtId="49" fontId="17" fillId="0" borderId="55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right" vertical="center"/>
      <protection/>
    </xf>
    <xf numFmtId="14" fontId="12" fillId="33" borderId="73" xfId="0" applyNumberFormat="1" applyFont="1" applyFill="1" applyBorder="1" applyAlignment="1" applyProtection="1">
      <alignment horizontal="center" vertical="center"/>
      <protection/>
    </xf>
    <xf numFmtId="14" fontId="12" fillId="33" borderId="17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Border="1" applyAlignment="1" applyProtection="1">
      <alignment horizontal="left" vertical="center"/>
      <protection locked="0"/>
    </xf>
    <xf numFmtId="1" fontId="12" fillId="0" borderId="56" xfId="0" applyNumberFormat="1" applyFont="1" applyBorder="1" applyAlignment="1" applyProtection="1">
      <alignment horizontal="left" vertical="center"/>
      <protection locked="0"/>
    </xf>
    <xf numFmtId="1" fontId="12" fillId="0" borderId="55" xfId="0" applyNumberFormat="1" applyFont="1" applyBorder="1" applyAlignment="1" applyProtection="1">
      <alignment horizontal="left" vertical="center"/>
      <protection locked="0"/>
    </xf>
    <xf numFmtId="0" fontId="12" fillId="33" borderId="73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49" fontId="17" fillId="0" borderId="46" xfId="0" applyNumberFormat="1" applyFont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4" fontId="12" fillId="0" borderId="73" xfId="0" applyNumberFormat="1" applyFont="1" applyBorder="1" applyAlignment="1" applyProtection="1">
      <alignment horizontal="center" vertical="center"/>
      <protection/>
    </xf>
    <xf numFmtId="4" fontId="12" fillId="0" borderId="17" xfId="0" applyNumberFormat="1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right" vertical="center"/>
      <protection/>
    </xf>
    <xf numFmtId="0" fontId="19" fillId="0" borderId="56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9" fillId="0" borderId="20" xfId="0" applyFont="1" applyBorder="1" applyAlignment="1" applyProtection="1">
      <alignment horizontal="right" vertical="center"/>
      <protection/>
    </xf>
    <xf numFmtId="0" fontId="19" fillId="0" borderId="21" xfId="0" applyFont="1" applyBorder="1" applyAlignment="1" applyProtection="1">
      <alignment horizontal="right" vertical="center"/>
      <protection/>
    </xf>
    <xf numFmtId="14" fontId="12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45" xfId="0" applyFont="1" applyBorder="1" applyAlignment="1" applyProtection="1">
      <alignment horizontal="right" vertical="center"/>
      <protection/>
    </xf>
    <xf numFmtId="0" fontId="12" fillId="0" borderId="46" xfId="0" applyFont="1" applyBorder="1" applyAlignment="1" applyProtection="1">
      <alignment horizontal="right" vertical="center"/>
      <protection/>
    </xf>
    <xf numFmtId="49" fontId="17" fillId="0" borderId="56" xfId="0" applyNumberFormat="1" applyFont="1" applyFill="1" applyBorder="1" applyAlignment="1" applyProtection="1">
      <alignment horizontal="left" vertical="center"/>
      <protection locked="0"/>
    </xf>
    <xf numFmtId="49" fontId="17" fillId="0" borderId="34" xfId="0" applyNumberFormat="1" applyFont="1" applyFill="1" applyBorder="1" applyAlignment="1" applyProtection="1">
      <alignment horizontal="left" vertical="center"/>
      <protection locked="0"/>
    </xf>
    <xf numFmtId="49" fontId="20" fillId="0" borderId="46" xfId="0" applyNumberFormat="1" applyFont="1" applyBorder="1" applyAlignment="1" applyProtection="1">
      <alignment horizontal="left" vertical="center"/>
      <protection/>
    </xf>
    <xf numFmtId="49" fontId="20" fillId="0" borderId="19" xfId="0" applyNumberFormat="1" applyFont="1" applyBorder="1" applyAlignment="1" applyProtection="1">
      <alignment horizontal="left" vertical="center"/>
      <protection/>
    </xf>
    <xf numFmtId="0" fontId="12" fillId="33" borderId="26" xfId="0" applyFont="1" applyFill="1" applyBorder="1" applyAlignment="1" applyProtection="1">
      <alignment horizontal="center" vertical="center" textRotation="90"/>
      <protection/>
    </xf>
    <xf numFmtId="0" fontId="12" fillId="33" borderId="70" xfId="0" applyFont="1" applyFill="1" applyBorder="1" applyAlignment="1" applyProtection="1">
      <alignment horizontal="center" vertical="center" textRotation="90"/>
      <protection/>
    </xf>
    <xf numFmtId="0" fontId="12" fillId="33" borderId="28" xfId="0" applyFont="1" applyFill="1" applyBorder="1" applyAlignment="1" applyProtection="1">
      <alignment horizontal="center" vertical="center" textRotation="90"/>
      <protection/>
    </xf>
    <xf numFmtId="0" fontId="12" fillId="33" borderId="27" xfId="0" applyNumberFormat="1" applyFont="1" applyFill="1" applyBorder="1" applyAlignment="1" applyProtection="1">
      <alignment horizontal="center" vertical="center" wrapText="1"/>
      <protection/>
    </xf>
    <xf numFmtId="0" fontId="12" fillId="33" borderId="71" xfId="0" applyNumberFormat="1" applyFont="1" applyFill="1" applyBorder="1" applyAlignment="1" applyProtection="1">
      <alignment horizontal="center" vertical="center" wrapText="1"/>
      <protection/>
    </xf>
    <xf numFmtId="0" fontId="12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7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75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right" vertical="center"/>
      <protection/>
    </xf>
    <xf numFmtId="0" fontId="19" fillId="0" borderId="46" xfId="0" applyFont="1" applyBorder="1" applyAlignment="1" applyProtection="1">
      <alignment horizontal="right" vertical="center"/>
      <protection/>
    </xf>
    <xf numFmtId="0" fontId="12" fillId="33" borderId="76" xfId="0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12" fillId="33" borderId="73" xfId="0" applyNumberFormat="1" applyFont="1" applyFill="1" applyBorder="1" applyAlignment="1" applyProtection="1">
      <alignment horizontal="center" vertical="center"/>
      <protection/>
    </xf>
    <xf numFmtId="0" fontId="12" fillId="33" borderId="17" xfId="0" applyNumberFormat="1" applyFont="1" applyFill="1" applyBorder="1" applyAlignment="1" applyProtection="1">
      <alignment horizontal="center" vertical="center"/>
      <protection/>
    </xf>
    <xf numFmtId="0" fontId="12" fillId="33" borderId="76" xfId="0" applyNumberFormat="1" applyFont="1" applyFill="1" applyBorder="1" applyAlignment="1" applyProtection="1">
      <alignment horizontal="center" vertical="center"/>
      <protection/>
    </xf>
    <xf numFmtId="0" fontId="12" fillId="33" borderId="29" xfId="0" applyNumberFormat="1" applyFont="1" applyFill="1" applyBorder="1" applyAlignment="1" applyProtection="1">
      <alignment horizontal="center" vertical="center"/>
      <protection/>
    </xf>
    <xf numFmtId="49" fontId="20" fillId="0" borderId="44" xfId="0" applyNumberFormat="1" applyFont="1" applyBorder="1" applyAlignment="1" applyProtection="1">
      <alignment horizontal="right" vertical="center"/>
      <protection/>
    </xf>
    <xf numFmtId="49" fontId="20" fillId="0" borderId="46" xfId="0" applyNumberFormat="1" applyFont="1" applyBorder="1" applyAlignment="1" applyProtection="1">
      <alignment horizontal="right" vertical="center"/>
      <protection/>
    </xf>
    <xf numFmtId="49" fontId="45" fillId="0" borderId="21" xfId="0" applyNumberFormat="1" applyFont="1" applyBorder="1" applyAlignment="1" applyProtection="1">
      <alignment horizontal="left" vertical="center"/>
      <protection hidden="1"/>
    </xf>
    <xf numFmtId="49" fontId="45" fillId="0" borderId="42" xfId="0" applyNumberFormat="1" applyFont="1" applyBorder="1" applyAlignment="1" applyProtection="1">
      <alignment horizontal="left" vertical="center"/>
      <protection hidden="1"/>
    </xf>
    <xf numFmtId="195" fontId="44" fillId="0" borderId="56" xfId="0" applyNumberFormat="1" applyFont="1" applyBorder="1" applyAlignment="1" applyProtection="1">
      <alignment horizontal="left" vertical="center"/>
      <protection/>
    </xf>
    <xf numFmtId="195" fontId="44" fillId="0" borderId="55" xfId="0" applyNumberFormat="1" applyFont="1" applyBorder="1" applyAlignment="1" applyProtection="1">
      <alignment horizontal="left" vertical="center"/>
      <protection/>
    </xf>
    <xf numFmtId="2" fontId="12" fillId="33" borderId="73" xfId="0" applyNumberFormat="1" applyFont="1" applyFill="1" applyBorder="1" applyAlignment="1" applyProtection="1">
      <alignment horizontal="center" vertical="center"/>
      <protection/>
    </xf>
    <xf numFmtId="2" fontId="12" fillId="33" borderId="17" xfId="0" applyNumberFormat="1" applyFont="1" applyFill="1" applyBorder="1" applyAlignment="1" applyProtection="1">
      <alignment horizontal="center" vertical="center"/>
      <protection/>
    </xf>
    <xf numFmtId="4" fontId="12" fillId="0" borderId="77" xfId="0" applyNumberFormat="1" applyFont="1" applyBorder="1" applyAlignment="1" applyProtection="1">
      <alignment horizontal="center" vertical="center"/>
      <protection/>
    </xf>
    <xf numFmtId="4" fontId="12" fillId="0" borderId="25" xfId="0" applyNumberFormat="1" applyFont="1" applyBorder="1" applyAlignment="1" applyProtection="1">
      <alignment horizontal="center" vertical="center"/>
      <protection/>
    </xf>
    <xf numFmtId="195" fontId="44" fillId="0" borderId="48" xfId="0" applyNumberFormat="1" applyFont="1" applyBorder="1" applyAlignment="1" applyProtection="1">
      <alignment horizontal="left" vertical="center"/>
      <protection/>
    </xf>
    <xf numFmtId="195" fontId="44" fillId="0" borderId="36" xfId="0" applyNumberFormat="1" applyFont="1" applyBorder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  <xf numFmtId="4" fontId="12" fillId="0" borderId="73" xfId="0" applyNumberFormat="1" applyFont="1" applyBorder="1" applyAlignment="1" applyProtection="1">
      <alignment horizontal="center" vertical="center" wrapText="1"/>
      <protection/>
    </xf>
    <xf numFmtId="4" fontId="12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76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4" fontId="14" fillId="0" borderId="74" xfId="0" applyNumberFormat="1" applyFont="1" applyBorder="1" applyAlignment="1" applyProtection="1">
      <alignment horizontal="center" vertical="center" wrapText="1"/>
      <protection/>
    </xf>
    <xf numFmtId="4" fontId="14" fillId="0" borderId="16" xfId="0" applyNumberFormat="1" applyFont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center"/>
      <protection/>
    </xf>
    <xf numFmtId="4" fontId="12" fillId="33" borderId="18" xfId="0" applyNumberFormat="1" applyFont="1" applyFill="1" applyBorder="1" applyAlignment="1" applyProtection="1">
      <alignment horizontal="center" vertical="center"/>
      <protection/>
    </xf>
    <xf numFmtId="4" fontId="12" fillId="33" borderId="35" xfId="0" applyNumberFormat="1" applyFont="1" applyFill="1" applyBorder="1" applyAlignment="1" applyProtection="1">
      <alignment horizontal="center" vertical="center"/>
      <protection/>
    </xf>
    <xf numFmtId="4" fontId="12" fillId="33" borderId="47" xfId="0" applyNumberFormat="1" applyFont="1" applyFill="1" applyBorder="1" applyAlignment="1" applyProtection="1">
      <alignment horizontal="center" vertical="center"/>
      <protection/>
    </xf>
    <xf numFmtId="4" fontId="12" fillId="33" borderId="0" xfId="0" applyNumberFormat="1" applyFont="1" applyFill="1" applyBorder="1" applyAlignment="1" applyProtection="1">
      <alignment horizontal="center" vertical="center"/>
      <protection/>
    </xf>
    <xf numFmtId="4" fontId="12" fillId="33" borderId="69" xfId="0" applyNumberFormat="1" applyFont="1" applyFill="1" applyBorder="1" applyAlignment="1" applyProtection="1">
      <alignment horizontal="center" vertical="center"/>
      <protection/>
    </xf>
    <xf numFmtId="4" fontId="12" fillId="33" borderId="16" xfId="0" applyNumberFormat="1" applyFont="1" applyFill="1" applyBorder="1" applyAlignment="1" applyProtection="1">
      <alignment horizontal="center" vertical="center"/>
      <protection/>
    </xf>
    <xf numFmtId="4" fontId="12" fillId="33" borderId="48" xfId="0" applyNumberFormat="1" applyFont="1" applyFill="1" applyBorder="1" applyAlignment="1" applyProtection="1">
      <alignment horizontal="center" vertical="center"/>
      <protection/>
    </xf>
    <xf numFmtId="4" fontId="12" fillId="33" borderId="36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Border="1" applyAlignment="1" applyProtection="1">
      <alignment horizontal="left" vertical="center"/>
      <protection locked="0"/>
    </xf>
    <xf numFmtId="1" fontId="12" fillId="0" borderId="21" xfId="0" applyNumberFormat="1" applyFont="1" applyBorder="1" applyAlignment="1" applyProtection="1">
      <alignment horizontal="left" vertical="center"/>
      <protection locked="0"/>
    </xf>
    <xf numFmtId="1" fontId="12" fillId="0" borderId="42" xfId="0" applyNumberFormat="1" applyFont="1" applyBorder="1" applyAlignment="1" applyProtection="1">
      <alignment horizontal="left" vertical="center"/>
      <protection locked="0"/>
    </xf>
    <xf numFmtId="0" fontId="51" fillId="0" borderId="0" xfId="47" applyFont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5</xdr:row>
      <xdr:rowOff>257175</xdr:rowOff>
    </xdr:from>
    <xdr:to>
      <xdr:col>5</xdr:col>
      <xdr:colOff>742950</xdr:colOff>
      <xdr:row>7</xdr:row>
      <xdr:rowOff>266700</xdr:rowOff>
    </xdr:to>
    <xdr:pic>
      <xdr:nvPicPr>
        <xdr:cNvPr id="1" name="CB_zur_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819275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</xdr:row>
      <xdr:rowOff>38100</xdr:rowOff>
    </xdr:from>
    <xdr:to>
      <xdr:col>4</xdr:col>
      <xdr:colOff>1200150</xdr:colOff>
      <xdr:row>1</xdr:row>
      <xdr:rowOff>485775</xdr:rowOff>
    </xdr:to>
    <xdr:pic>
      <xdr:nvPicPr>
        <xdr:cNvPr id="1" name="CB_Beschreibung_w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5240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76200</xdr:colOff>
      <xdr:row>0</xdr:row>
      <xdr:rowOff>104775</xdr:rowOff>
    </xdr:from>
    <xdr:to>
      <xdr:col>24</xdr:col>
      <xdr:colOff>1095375</xdr:colOff>
      <xdr:row>2</xdr:row>
      <xdr:rowOff>123825</xdr:rowOff>
    </xdr:to>
    <xdr:pic>
      <xdr:nvPicPr>
        <xdr:cNvPr id="1" name="CB_Zeile_einfü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0477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76200</xdr:colOff>
      <xdr:row>2</xdr:row>
      <xdr:rowOff>228600</xdr:rowOff>
    </xdr:from>
    <xdr:to>
      <xdr:col>24</xdr:col>
      <xdr:colOff>1095375</xdr:colOff>
      <xdr:row>3</xdr:row>
      <xdr:rowOff>142875</xdr:rowOff>
    </xdr:to>
    <xdr:pic>
      <xdr:nvPicPr>
        <xdr:cNvPr id="2" name="CB_Zeile_loesch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55245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381000</xdr:colOff>
      <xdr:row>1</xdr:row>
      <xdr:rowOff>0</xdr:rowOff>
    </xdr:from>
    <xdr:to>
      <xdr:col>23</xdr:col>
      <xdr:colOff>476250</xdr:colOff>
      <xdr:row>2</xdr:row>
      <xdr:rowOff>104775</xdr:rowOff>
    </xdr:to>
    <xdr:pic>
      <xdr:nvPicPr>
        <xdr:cNvPr id="1" name="Zeile_einfuegen_Stockka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000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390525</xdr:colOff>
      <xdr:row>2</xdr:row>
      <xdr:rowOff>142875</xdr:rowOff>
    </xdr:from>
    <xdr:to>
      <xdr:col>23</xdr:col>
      <xdr:colOff>485775</xdr:colOff>
      <xdr:row>4</xdr:row>
      <xdr:rowOff>0</xdr:rowOff>
    </xdr:to>
    <xdr:pic>
      <xdr:nvPicPr>
        <xdr:cNvPr id="2" name="Zeile_loeschen_Stockka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5905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438150</xdr:colOff>
      <xdr:row>1</xdr:row>
      <xdr:rowOff>0</xdr:rowOff>
    </xdr:from>
    <xdr:to>
      <xdr:col>23</xdr:col>
      <xdr:colOff>533400</xdr:colOff>
      <xdr:row>2</xdr:row>
      <xdr:rowOff>104775</xdr:rowOff>
    </xdr:to>
    <xdr:pic>
      <xdr:nvPicPr>
        <xdr:cNvPr id="1" name="Zeile_einfuegen_Stockka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2000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438150</xdr:colOff>
      <xdr:row>2</xdr:row>
      <xdr:rowOff>142875</xdr:rowOff>
    </xdr:from>
    <xdr:to>
      <xdr:col>23</xdr:col>
      <xdr:colOff>533400</xdr:colOff>
      <xdr:row>4</xdr:row>
      <xdr:rowOff>0</xdr:rowOff>
    </xdr:to>
    <xdr:pic>
      <xdr:nvPicPr>
        <xdr:cNvPr id="2" name="Zeile_loeschen_Stockkar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5905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fs.at.vu/software" TargetMode="External" /><Relationship Id="rId2" Type="http://schemas.openxmlformats.org/officeDocument/2006/relationships/hyperlink" Target="http://edv.heim.at/imker" TargetMode="External" /><Relationship Id="rId3" Type="http://schemas.openxmlformats.org/officeDocument/2006/relationships/hyperlink" Target="mailto:ringhofer@schule.at" TargetMode="External" /><Relationship Id="rId4" Type="http://schemas.openxmlformats.org/officeDocument/2006/relationships/oleObject" Target="../embeddings/oleObject_0_0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fs.at.vu/software" TargetMode="External" /><Relationship Id="rId2" Type="http://schemas.openxmlformats.org/officeDocument/2006/relationships/hyperlink" Target="http://lfs.at.vu/softwar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A31"/>
  <sheetViews>
    <sheetView showGridLines="0" zoomScale="75" zoomScaleNormal="75" zoomScalePageLayoutView="0" workbookViewId="0" topLeftCell="A1">
      <selection activeCell="B2" sqref="B2:G2"/>
    </sheetView>
  </sheetViews>
  <sheetFormatPr defaultColWidth="0" defaultRowHeight="12.75" zeroHeight="1"/>
  <cols>
    <col min="1" max="1" width="2.7109375" style="1" customWidth="1"/>
    <col min="2" max="2" width="4.28125" style="1" customWidth="1"/>
    <col min="3" max="3" width="12.8515625" style="1" customWidth="1"/>
    <col min="4" max="4" width="28.57421875" style="1" customWidth="1"/>
    <col min="5" max="5" width="17.7109375" style="1" customWidth="1"/>
    <col min="6" max="7" width="14.140625" style="1" customWidth="1"/>
    <col min="8" max="8" width="2.7109375" style="1" customWidth="1"/>
    <col min="9" max="9" width="5.00390625" style="1" hidden="1" customWidth="1"/>
    <col min="10" max="10" width="10.7109375" style="1" hidden="1" customWidth="1"/>
    <col min="11" max="25" width="0" style="1" hidden="1" customWidth="1"/>
    <col min="26" max="26" width="15.7109375" style="1" hidden="1" customWidth="1"/>
    <col min="27" max="27" width="10.7109375" style="1" hidden="1" customWidth="1"/>
    <col min="28" max="29" width="15.7109375" style="1" hidden="1" customWidth="1"/>
    <col min="30" max="16384" width="0" style="1" hidden="1" customWidth="1"/>
  </cols>
  <sheetData>
    <row r="1" spans="26:27" ht="8.25" customHeight="1">
      <c r="Z1" s="74" t="s">
        <v>0</v>
      </c>
      <c r="AA1" s="75">
        <v>-733548832</v>
      </c>
    </row>
    <row r="2" spans="2:27" ht="41.25" customHeight="1">
      <c r="B2" s="399" t="s">
        <v>1</v>
      </c>
      <c r="C2" s="399"/>
      <c r="D2" s="399"/>
      <c r="E2" s="399"/>
      <c r="F2" s="399"/>
      <c r="G2" s="399"/>
      <c r="Z2" s="74" t="s">
        <v>2</v>
      </c>
      <c r="AA2" s="75">
        <v>0</v>
      </c>
    </row>
    <row r="3" spans="2:27" ht="30.75" customHeight="1">
      <c r="B3" s="400" t="s">
        <v>3</v>
      </c>
      <c r="C3" s="400"/>
      <c r="D3" s="400"/>
      <c r="E3" s="400"/>
      <c r="F3" s="400"/>
      <c r="G3" s="400"/>
      <c r="Z3" s="74" t="s">
        <v>4</v>
      </c>
      <c r="AA3" s="75">
        <f>IF(AA2&lt;&gt;0,AA2,AA1)</f>
        <v>-733548832</v>
      </c>
    </row>
    <row r="4" spans="2:27" s="2" customFormat="1" ht="23.25" customHeight="1">
      <c r="B4" s="403" t="s">
        <v>203</v>
      </c>
      <c r="C4" s="404"/>
      <c r="D4" s="404"/>
      <c r="E4" s="404"/>
      <c r="F4" s="404"/>
      <c r="G4" s="404"/>
      <c r="Z4" s="74" t="s">
        <v>5</v>
      </c>
      <c r="AA4" s="76">
        <f>ROUNDDOWN((((AA3-123456789)*61)-7)/30,0)</f>
        <v>-1742578096</v>
      </c>
    </row>
    <row r="5" spans="2:27" s="2" customFormat="1" ht="19.5" customHeight="1">
      <c r="B5" s="405" t="s">
        <v>179</v>
      </c>
      <c r="C5" s="405"/>
      <c r="D5" s="405"/>
      <c r="E5" s="405"/>
      <c r="F5" s="405"/>
      <c r="G5" s="405"/>
      <c r="H5" s="3"/>
      <c r="Z5" s="74" t="s">
        <v>6</v>
      </c>
      <c r="AA5" s="76">
        <f>IF(ISERROR(#REF!),0,#REF!)</f>
        <v>0</v>
      </c>
    </row>
    <row r="6" spans="2:27" s="2" customFormat="1" ht="24.75" customHeight="1">
      <c r="B6" s="77"/>
      <c r="C6" s="77"/>
      <c r="D6" s="77"/>
      <c r="E6" s="77"/>
      <c r="F6" s="77"/>
      <c r="G6" s="77"/>
      <c r="H6" s="3"/>
      <c r="Z6" s="74"/>
      <c r="AA6" s="76"/>
    </row>
    <row r="7" spans="2:27" s="2" customFormat="1" ht="21.75" customHeight="1">
      <c r="B7" s="44"/>
      <c r="C7" s="45" t="s">
        <v>7</v>
      </c>
      <c r="D7" s="391" t="s">
        <v>8</v>
      </c>
      <c r="E7" s="35"/>
      <c r="F7" s="35"/>
      <c r="G7" s="46"/>
      <c r="H7" s="36"/>
      <c r="Z7" s="74" t="s">
        <v>9</v>
      </c>
      <c r="AA7" s="76">
        <f>IF(ISERROR(AA4-AA5),"",AA4-AA5)</f>
        <v>-1742578096</v>
      </c>
    </row>
    <row r="8" spans="3:27" s="2" customFormat="1" ht="21.75" customHeight="1">
      <c r="C8" s="37" t="s">
        <v>10</v>
      </c>
      <c r="D8" s="391" t="s">
        <v>197</v>
      </c>
      <c r="E8" s="35"/>
      <c r="F8" s="35"/>
      <c r="Z8" s="74"/>
      <c r="AA8"/>
    </row>
    <row r="9" spans="2:27" s="2" customFormat="1" ht="21.75" customHeight="1">
      <c r="B9" s="402" t="s">
        <v>11</v>
      </c>
      <c r="C9" s="402"/>
      <c r="D9" s="391">
        <v>123456789</v>
      </c>
      <c r="Z9" s="74"/>
      <c r="AA9" s="74"/>
    </row>
    <row r="10" spans="3:27" s="2" customFormat="1" ht="21.75" customHeight="1">
      <c r="C10" s="37" t="s">
        <v>12</v>
      </c>
      <c r="D10" s="391">
        <v>2011</v>
      </c>
      <c r="E10" s="37" t="s">
        <v>13</v>
      </c>
      <c r="F10" s="401" t="s">
        <v>14</v>
      </c>
      <c r="G10" s="401"/>
      <c r="H10" s="35"/>
      <c r="J10" s="109">
        <f>D10+1</f>
        <v>2012</v>
      </c>
      <c r="Z10" s="74"/>
      <c r="AA10" s="74"/>
    </row>
    <row r="11" spans="3:27" s="2" customFormat="1" ht="21.75" customHeight="1">
      <c r="C11" s="37" t="s">
        <v>15</v>
      </c>
      <c r="D11" s="392"/>
      <c r="E11" s="37" t="s">
        <v>13</v>
      </c>
      <c r="F11" s="401"/>
      <c r="G11" s="401"/>
      <c r="H11" s="35"/>
      <c r="Z11" s="74"/>
      <c r="AA11" s="74"/>
    </row>
    <row r="12" spans="3:27" s="2" customFormat="1" ht="21.75" customHeight="1">
      <c r="C12" s="37" t="s">
        <v>15</v>
      </c>
      <c r="D12" s="392"/>
      <c r="E12" s="37" t="s">
        <v>13</v>
      </c>
      <c r="F12" s="401"/>
      <c r="G12" s="401"/>
      <c r="H12" s="35"/>
      <c r="Z12" s="74" t="s">
        <v>16</v>
      </c>
      <c r="AA12" s="74">
        <v>2</v>
      </c>
    </row>
    <row r="13" spans="3:27" s="2" customFormat="1" ht="21.75" customHeight="1">
      <c r="C13" s="37" t="s">
        <v>15</v>
      </c>
      <c r="D13" s="392"/>
      <c r="E13" s="37" t="s">
        <v>13</v>
      </c>
      <c r="F13" s="401"/>
      <c r="G13" s="401"/>
      <c r="H13" s="35"/>
      <c r="Z13" s="74" t="s">
        <v>16</v>
      </c>
      <c r="AA13" s="74">
        <f>AA12+1</f>
        <v>3</v>
      </c>
    </row>
    <row r="14" spans="3:27" s="2" customFormat="1" ht="15.75" customHeight="1">
      <c r="C14" s="37"/>
      <c r="D14" s="47"/>
      <c r="E14" s="37"/>
      <c r="F14" s="47"/>
      <c r="Z14" s="74"/>
      <c r="AA14" s="74"/>
    </row>
    <row r="15" spans="2:27" s="2" customFormat="1" ht="15.75" customHeight="1">
      <c r="B15" s="48"/>
      <c r="C15" s="48"/>
      <c r="D15" s="48"/>
      <c r="E15" s="48"/>
      <c r="F15" s="48"/>
      <c r="G15" s="48"/>
      <c r="Z15" s="74"/>
      <c r="AA15" s="74"/>
    </row>
    <row r="16" spans="5:27" s="382" customFormat="1" ht="24.75" customHeight="1">
      <c r="E16" s="383" t="s">
        <v>17</v>
      </c>
      <c r="F16" s="383"/>
      <c r="Z16" s="384"/>
      <c r="AA16" s="384"/>
    </row>
    <row r="17" spans="5:6" s="382" customFormat="1" ht="24.75" customHeight="1">
      <c r="E17" s="397" t="s">
        <v>18</v>
      </c>
      <c r="F17" s="397"/>
    </row>
    <row r="18" spans="5:8" s="382" customFormat="1" ht="24.75" customHeight="1">
      <c r="E18" s="398" t="s">
        <v>198</v>
      </c>
      <c r="F18" s="398"/>
      <c r="G18" s="387"/>
      <c r="H18" s="387"/>
    </row>
    <row r="19" spans="5:8" s="382" customFormat="1" ht="24.75" customHeight="1">
      <c r="E19" s="397" t="s">
        <v>199</v>
      </c>
      <c r="F19" s="397"/>
      <c r="G19" s="387"/>
      <c r="H19" s="387"/>
    </row>
    <row r="20" spans="5:6" s="388" customFormat="1" ht="24.75" customHeight="1">
      <c r="E20" s="396" t="s">
        <v>180</v>
      </c>
      <c r="F20" s="396"/>
    </row>
    <row r="21" spans="5:6" s="388" customFormat="1" ht="24.75" customHeight="1">
      <c r="E21" s="385" t="s">
        <v>19</v>
      </c>
      <c r="F21" s="385"/>
    </row>
    <row r="22" spans="5:6" s="388" customFormat="1" ht="24.75" customHeight="1">
      <c r="E22" s="386" t="s">
        <v>20</v>
      </c>
      <c r="F22" s="386"/>
    </row>
    <row r="23" spans="4:8" s="388" customFormat="1" ht="24.75" customHeight="1">
      <c r="D23" s="389" t="s">
        <v>21</v>
      </c>
      <c r="E23" s="395" t="s">
        <v>204</v>
      </c>
      <c r="F23" s="395"/>
      <c r="G23" s="390"/>
      <c r="H23" s="390"/>
    </row>
    <row r="24" spans="5:7" ht="13.5" customHeight="1">
      <c r="E24" s="5"/>
      <c r="F24" s="7"/>
      <c r="G24" s="8"/>
    </row>
    <row r="25" spans="5:7" ht="13.5" customHeight="1">
      <c r="E25" s="6"/>
      <c r="F25" s="9"/>
      <c r="G25" s="6"/>
    </row>
    <row r="26" spans="5:7" ht="13.5" customHeight="1" hidden="1">
      <c r="E26" s="8"/>
      <c r="F26" s="9"/>
      <c r="G26" s="8"/>
    </row>
    <row r="27" spans="5:7" ht="12.75" hidden="1">
      <c r="E27" s="10"/>
      <c r="F27" s="4"/>
      <c r="G27" s="10"/>
    </row>
    <row r="28" spans="5:7" ht="12.75" hidden="1">
      <c r="E28" s="6"/>
      <c r="G28" s="6"/>
    </row>
    <row r="29" ht="12.75" hidden="1"/>
    <row r="30" ht="12.75" customHeight="1" hidden="1"/>
    <row r="31" ht="12.75" hidden="1">
      <c r="E31" s="11"/>
    </row>
    <row r="32" ht="12.75" hidden="1"/>
    <row r="33" ht="12.75" hidden="1"/>
  </sheetData>
  <sheetProtection password="CE89" sheet="1" objects="1" scenarios="1"/>
  <mergeCells count="14">
    <mergeCell ref="F10:G10"/>
    <mergeCell ref="F11:G11"/>
    <mergeCell ref="B4:G4"/>
    <mergeCell ref="B5:G5"/>
    <mergeCell ref="E23:F23"/>
    <mergeCell ref="E20:F20"/>
    <mergeCell ref="E17:F17"/>
    <mergeCell ref="E18:F18"/>
    <mergeCell ref="E19:F19"/>
    <mergeCell ref="B2:G2"/>
    <mergeCell ref="B3:G3"/>
    <mergeCell ref="F12:G12"/>
    <mergeCell ref="F13:G13"/>
    <mergeCell ref="B9:C9"/>
  </mergeCells>
  <hyperlinks>
    <hyperlink ref="E23:F23" r:id="rId1" display="http://lfs.at.vu/software"/>
    <hyperlink ref="E23" r:id="rId2" display="http://edv.heim.at/imker"/>
    <hyperlink ref="E20" r:id="rId3" display="ringhofer@schule.at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7"/>
  <drawing r:id="rId6"/>
  <legacyDrawing r:id="rId5"/>
  <oleObjects>
    <oleObject progId="CorelDraw.Grafik.6" shapeId="72319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E6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4" sqref="D4:E4"/>
    </sheetView>
  </sheetViews>
  <sheetFormatPr defaultColWidth="0" defaultRowHeight="12.75" zeroHeight="1"/>
  <cols>
    <col min="1" max="1" width="2.7109375" style="87" customWidth="1"/>
    <col min="2" max="2" width="17.8515625" style="88" customWidth="1"/>
    <col min="3" max="3" width="38.57421875" style="87" customWidth="1"/>
    <col min="4" max="4" width="16.140625" style="87" customWidth="1"/>
    <col min="5" max="5" width="19.140625" style="87" customWidth="1"/>
    <col min="6" max="6" width="2.57421875" style="87" customWidth="1"/>
    <col min="7" max="16384" width="0" style="87" hidden="1" customWidth="1"/>
  </cols>
  <sheetData>
    <row r="1" ht="9" customHeight="1"/>
    <row r="2" ht="41.25" customHeight="1">
      <c r="C2" s="394" t="s">
        <v>22</v>
      </c>
    </row>
    <row r="3" spans="1:4" ht="9" customHeight="1">
      <c r="A3" s="79"/>
      <c r="B3" s="80"/>
      <c r="D3" s="80"/>
    </row>
    <row r="4" spans="1:5" ht="15.75">
      <c r="A4" s="79"/>
      <c r="B4" s="82" t="s">
        <v>23</v>
      </c>
      <c r="C4" s="78" t="s">
        <v>181</v>
      </c>
      <c r="D4" s="503" t="s">
        <v>204</v>
      </c>
      <c r="E4" s="503"/>
    </row>
    <row r="5" spans="1:4" ht="16.5" customHeight="1">
      <c r="A5" s="79"/>
      <c r="B5" s="86"/>
      <c r="C5" s="215" t="s">
        <v>182</v>
      </c>
      <c r="D5" s="215"/>
    </row>
    <row r="6" spans="1:4" ht="7.5" customHeight="1">
      <c r="A6" s="79"/>
      <c r="B6" s="86"/>
      <c r="C6" s="78"/>
      <c r="D6" s="78"/>
    </row>
    <row r="7" spans="1:4" ht="15" customHeight="1">
      <c r="A7" s="79"/>
      <c r="B7" s="86"/>
      <c r="C7" s="216" t="s">
        <v>200</v>
      </c>
      <c r="D7" s="78"/>
    </row>
    <row r="8" spans="1:4" ht="15" customHeight="1">
      <c r="A8" s="79"/>
      <c r="B8" s="86"/>
      <c r="C8" s="102" t="s">
        <v>24</v>
      </c>
      <c r="D8" s="393"/>
    </row>
    <row r="9" spans="1:4" ht="15" customHeight="1">
      <c r="A9" s="79"/>
      <c r="B9" s="86"/>
      <c r="C9" s="78" t="s">
        <v>25</v>
      </c>
      <c r="D9" s="393"/>
    </row>
    <row r="10" spans="1:4" ht="7.5" customHeight="1">
      <c r="A10" s="79"/>
      <c r="B10" s="86"/>
      <c r="C10" s="78"/>
      <c r="D10" s="85"/>
    </row>
    <row r="11" spans="1:4" ht="19.5">
      <c r="A11" s="79"/>
      <c r="B11" s="82" t="s">
        <v>26</v>
      </c>
      <c r="C11" s="215" t="s">
        <v>201</v>
      </c>
      <c r="D11" s="80"/>
    </row>
    <row r="12" spans="1:4" ht="7.5" customHeight="1">
      <c r="A12" s="79"/>
      <c r="B12" s="82"/>
      <c r="C12" s="79"/>
      <c r="D12" s="79"/>
    </row>
    <row r="13" spans="1:4" ht="12.75">
      <c r="A13" s="79"/>
      <c r="B13" s="82" t="s">
        <v>27</v>
      </c>
      <c r="C13" s="81" t="s">
        <v>28</v>
      </c>
      <c r="D13" s="81"/>
    </row>
    <row r="14" spans="1:4" ht="12.75">
      <c r="A14" s="79"/>
      <c r="B14" s="82" t="s">
        <v>29</v>
      </c>
      <c r="C14" s="215" t="s">
        <v>190</v>
      </c>
      <c r="D14" s="79"/>
    </row>
    <row r="15" spans="1:4" ht="12.75">
      <c r="A15" s="79"/>
      <c r="B15" s="82" t="s">
        <v>30</v>
      </c>
      <c r="C15" s="102" t="s">
        <v>186</v>
      </c>
      <c r="D15" s="79"/>
    </row>
    <row r="16" spans="1:4" ht="12.75">
      <c r="A16" s="79"/>
      <c r="B16" s="82"/>
      <c r="C16" s="378" t="s">
        <v>187</v>
      </c>
      <c r="D16" s="79"/>
    </row>
    <row r="17" spans="1:4" ht="12.75">
      <c r="A17" s="79"/>
      <c r="B17" s="82"/>
      <c r="C17" s="79" t="s">
        <v>31</v>
      </c>
      <c r="D17" s="79"/>
    </row>
    <row r="18" spans="1:4" ht="12.75">
      <c r="A18" s="79"/>
      <c r="B18" s="82"/>
      <c r="C18" s="79"/>
      <c r="D18" s="79"/>
    </row>
    <row r="19" spans="1:4" ht="12.75">
      <c r="A19" s="79"/>
      <c r="B19" s="82" t="s">
        <v>191</v>
      </c>
      <c r="C19" s="81" t="s">
        <v>193</v>
      </c>
      <c r="D19" s="79"/>
    </row>
    <row r="20" spans="1:4" ht="12.75">
      <c r="A20" s="79"/>
      <c r="B20" s="82" t="s">
        <v>29</v>
      </c>
      <c r="C20" s="215" t="s">
        <v>194</v>
      </c>
      <c r="D20" s="79"/>
    </row>
    <row r="21" spans="1:4" ht="12.75">
      <c r="A21" s="79"/>
      <c r="B21" s="82" t="s">
        <v>192</v>
      </c>
      <c r="C21" s="102" t="s">
        <v>195</v>
      </c>
      <c r="D21" s="79"/>
    </row>
    <row r="22" spans="1:4" ht="12.75">
      <c r="A22" s="79"/>
      <c r="B22" s="82"/>
      <c r="C22" s="378" t="s">
        <v>196</v>
      </c>
      <c r="D22" s="79"/>
    </row>
    <row r="23" spans="1:4" ht="12.75">
      <c r="A23" s="79"/>
      <c r="B23" s="82"/>
      <c r="C23" s="215" t="s">
        <v>178</v>
      </c>
      <c r="D23" s="79"/>
    </row>
    <row r="24" spans="1:4" ht="7.5" customHeight="1">
      <c r="A24" s="79"/>
      <c r="B24" s="82"/>
      <c r="C24" s="79"/>
      <c r="D24" s="79"/>
    </row>
    <row r="25" spans="1:4" ht="12.75">
      <c r="A25" s="79"/>
      <c r="B25" s="82" t="s">
        <v>32</v>
      </c>
      <c r="C25" s="79" t="s">
        <v>33</v>
      </c>
      <c r="D25" s="79"/>
    </row>
    <row r="26" spans="1:4" ht="12.75">
      <c r="A26" s="79"/>
      <c r="B26" s="82"/>
      <c r="C26" s="79" t="s">
        <v>34</v>
      </c>
      <c r="D26" s="79"/>
    </row>
    <row r="27" spans="1:4" ht="6" customHeight="1">
      <c r="A27" s="79"/>
      <c r="B27" s="82"/>
      <c r="C27" s="79"/>
      <c r="D27" s="79"/>
    </row>
    <row r="28" spans="1:4" ht="12.75">
      <c r="A28" s="79"/>
      <c r="B28" s="82" t="s">
        <v>35</v>
      </c>
      <c r="C28" s="81" t="s">
        <v>36</v>
      </c>
      <c r="D28" s="79"/>
    </row>
    <row r="29" spans="1:4" ht="12.75">
      <c r="A29" s="79"/>
      <c r="B29" s="82" t="s">
        <v>29</v>
      </c>
      <c r="C29" s="79" t="s">
        <v>185</v>
      </c>
      <c r="D29" s="79"/>
    </row>
    <row r="30" spans="1:4" ht="12.75">
      <c r="A30" s="79"/>
      <c r="B30" s="82"/>
      <c r="C30" s="79" t="s">
        <v>188</v>
      </c>
      <c r="D30" s="79"/>
    </row>
    <row r="31" spans="1:4" ht="12.75">
      <c r="A31" s="79"/>
      <c r="B31" s="82" t="s">
        <v>37</v>
      </c>
      <c r="C31" s="379" t="s">
        <v>189</v>
      </c>
      <c r="D31" s="89"/>
    </row>
    <row r="32" spans="1:4" ht="7.5" customHeight="1">
      <c r="A32" s="79"/>
      <c r="B32" s="82"/>
      <c r="C32" s="79"/>
      <c r="D32" s="89"/>
    </row>
    <row r="33" spans="1:4" ht="12.75">
      <c r="A33" s="79"/>
      <c r="B33" s="82" t="s">
        <v>38</v>
      </c>
      <c r="C33" s="82" t="s">
        <v>39</v>
      </c>
      <c r="D33" s="89"/>
    </row>
    <row r="34" spans="1:4" ht="12.75">
      <c r="A34" s="79"/>
      <c r="B34" s="82"/>
      <c r="C34" s="79" t="s">
        <v>40</v>
      </c>
      <c r="D34" s="89"/>
    </row>
    <row r="35" spans="1:4" ht="12.75">
      <c r="A35" s="79"/>
      <c r="B35" s="82"/>
      <c r="C35" s="79" t="s">
        <v>41</v>
      </c>
      <c r="D35" s="89"/>
    </row>
    <row r="36" spans="1:4" ht="7.5" customHeight="1">
      <c r="A36" s="79"/>
      <c r="B36" s="82"/>
      <c r="C36" s="79"/>
      <c r="D36" s="89"/>
    </row>
    <row r="37" spans="1:4" ht="12.75">
      <c r="A37" s="79"/>
      <c r="B37" s="82" t="s">
        <v>42</v>
      </c>
      <c r="C37" s="82" t="s">
        <v>43</v>
      </c>
      <c r="D37" s="89"/>
    </row>
    <row r="38" spans="1:4" ht="12.75">
      <c r="A38" s="79"/>
      <c r="B38" s="82"/>
      <c r="C38" s="79" t="s">
        <v>44</v>
      </c>
      <c r="D38" s="89"/>
    </row>
    <row r="39" spans="1:4" ht="12.75">
      <c r="A39" s="79"/>
      <c r="B39" s="82"/>
      <c r="C39" s="79" t="s">
        <v>45</v>
      </c>
      <c r="D39" s="89"/>
    </row>
    <row r="40" spans="1:4" ht="12.75">
      <c r="A40" s="79"/>
      <c r="B40" s="82"/>
      <c r="C40" s="79" t="s">
        <v>46</v>
      </c>
      <c r="D40" s="89"/>
    </row>
    <row r="41" spans="1:4" ht="12.75">
      <c r="A41" s="79"/>
      <c r="B41" s="82"/>
      <c r="C41" s="87" t="s">
        <v>47</v>
      </c>
      <c r="D41" s="89"/>
    </row>
    <row r="42" spans="1:4" ht="12.75">
      <c r="A42" s="79"/>
      <c r="B42" s="82"/>
      <c r="C42" s="87" t="s">
        <v>48</v>
      </c>
      <c r="D42" s="89"/>
    </row>
    <row r="43" spans="1:4" ht="12.75">
      <c r="A43" s="79"/>
      <c r="B43" s="82"/>
      <c r="C43" s="87" t="s">
        <v>49</v>
      </c>
      <c r="D43" s="89"/>
    </row>
    <row r="44" spans="1:4" ht="7.5" customHeight="1">
      <c r="A44" s="79"/>
      <c r="B44" s="82"/>
      <c r="C44" s="81"/>
      <c r="D44" s="79"/>
    </row>
    <row r="45" spans="1:4" ht="12.75">
      <c r="A45" s="79"/>
      <c r="B45" s="82" t="s">
        <v>50</v>
      </c>
      <c r="C45" s="82" t="s">
        <v>51</v>
      </c>
      <c r="D45" s="79"/>
    </row>
    <row r="46" spans="1:4" ht="12.75">
      <c r="A46" s="79"/>
      <c r="B46" s="82" t="s">
        <v>52</v>
      </c>
      <c r="C46" s="79" t="s">
        <v>53</v>
      </c>
      <c r="D46" s="79"/>
    </row>
    <row r="47" spans="1:4" ht="12.75">
      <c r="A47" s="79"/>
      <c r="B47" s="82"/>
      <c r="C47" s="79" t="s">
        <v>54</v>
      </c>
      <c r="D47" s="79"/>
    </row>
    <row r="48" spans="1:4" ht="12.75">
      <c r="A48" s="79"/>
      <c r="B48" s="82"/>
      <c r="C48" s="82" t="s">
        <v>55</v>
      </c>
      <c r="D48" s="79"/>
    </row>
    <row r="49" spans="1:4" ht="12.75">
      <c r="A49" s="79"/>
      <c r="B49" s="82"/>
      <c r="C49" s="82" t="s">
        <v>56</v>
      </c>
      <c r="D49" s="79"/>
    </row>
    <row r="50" spans="1:4" ht="7.5" customHeight="1">
      <c r="A50" s="79"/>
      <c r="B50" s="82"/>
      <c r="C50" s="79"/>
      <c r="D50" s="79"/>
    </row>
    <row r="51" spans="1:4" ht="12.75" customHeight="1">
      <c r="A51" s="79"/>
      <c r="B51" s="82"/>
      <c r="C51" s="81" t="s">
        <v>57</v>
      </c>
      <c r="D51" s="79"/>
    </row>
    <row r="52" spans="1:4" ht="12.75" customHeight="1">
      <c r="A52" s="79"/>
      <c r="B52" s="82"/>
      <c r="C52" s="215" t="s">
        <v>177</v>
      </c>
      <c r="D52" s="79"/>
    </row>
    <row r="53" spans="1:4" ht="12.75" customHeight="1">
      <c r="A53" s="79"/>
      <c r="B53" s="82"/>
      <c r="C53" s="78" t="s">
        <v>58</v>
      </c>
      <c r="D53" s="79"/>
    </row>
    <row r="54" spans="1:4" ht="12.75" customHeight="1">
      <c r="A54" s="79"/>
      <c r="B54" s="82"/>
      <c r="C54" s="344" t="s">
        <v>176</v>
      </c>
      <c r="D54" s="79"/>
    </row>
    <row r="55" spans="1:4" ht="7.5" customHeight="1">
      <c r="A55" s="79"/>
      <c r="B55" s="82"/>
      <c r="C55" s="83"/>
      <c r="D55" s="79"/>
    </row>
    <row r="56" spans="1:4" ht="12.75" customHeight="1">
      <c r="A56" s="79"/>
      <c r="B56" s="82" t="s">
        <v>59</v>
      </c>
      <c r="C56" s="81" t="s">
        <v>60</v>
      </c>
      <c r="D56" s="79"/>
    </row>
    <row r="57" spans="1:4" ht="12.75" customHeight="1">
      <c r="A57" s="79"/>
      <c r="B57" s="82" t="s">
        <v>61</v>
      </c>
      <c r="C57" s="83" t="s">
        <v>62</v>
      </c>
      <c r="D57" s="79"/>
    </row>
    <row r="58" spans="1:4" ht="12.75" customHeight="1">
      <c r="A58" s="79"/>
      <c r="B58" s="82" t="s">
        <v>63</v>
      </c>
      <c r="C58" s="83" t="s">
        <v>64</v>
      </c>
      <c r="D58" s="79"/>
    </row>
    <row r="59" spans="1:4" ht="12.75" customHeight="1">
      <c r="A59" s="79"/>
      <c r="B59" s="82"/>
      <c r="C59" s="138" t="s">
        <v>65</v>
      </c>
      <c r="D59" s="79"/>
    </row>
    <row r="60" spans="1:4" ht="7.5" customHeight="1">
      <c r="A60" s="79"/>
      <c r="B60" s="82"/>
      <c r="C60" s="79"/>
      <c r="D60" s="79"/>
    </row>
    <row r="61" spans="1:4" ht="12.75">
      <c r="A61" s="79"/>
      <c r="B61" s="82"/>
      <c r="C61" s="84" t="s">
        <v>66</v>
      </c>
      <c r="D61" s="79"/>
    </row>
    <row r="62" ht="12.75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</sheetData>
  <sheetProtection password="CE89" sheet="1" objects="1" scenarios="1"/>
  <mergeCells count="1">
    <mergeCell ref="D4:E4"/>
  </mergeCells>
  <hyperlinks>
    <hyperlink ref="D4" r:id="rId1" display="http://lfs.at.vu/software"/>
    <hyperlink ref="D4:E4" r:id="rId2" display="http://lfs.at.vu/software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G13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11.57421875" defaultRowHeight="12.75"/>
  <cols>
    <col min="1" max="1" width="2.7109375" style="12" customWidth="1"/>
    <col min="2" max="2" width="5.8515625" style="55" customWidth="1"/>
    <col min="3" max="3" width="9.140625" style="13" customWidth="1"/>
    <col min="4" max="4" width="8.140625" style="14" customWidth="1"/>
    <col min="5" max="5" width="10.8515625" style="14" customWidth="1"/>
    <col min="6" max="6" width="13.28125" style="14" customWidth="1"/>
    <col min="7" max="15" width="13.28125" style="14" hidden="1" customWidth="1"/>
    <col min="16" max="16" width="13.28125" style="14" customWidth="1"/>
    <col min="17" max="17" width="10.8515625" style="14" customWidth="1"/>
    <col min="18" max="24" width="7.7109375" style="14" customWidth="1"/>
    <col min="25" max="25" width="16.8515625" style="14" customWidth="1"/>
    <col min="26" max="26" width="7.00390625" style="12" customWidth="1"/>
    <col min="27" max="27" width="5.7109375" style="12" customWidth="1"/>
    <col min="28" max="28" width="7.140625" style="14" customWidth="1"/>
    <col min="29" max="29" width="8.28125" style="14" customWidth="1"/>
    <col min="30" max="30" width="4.00390625" style="14" customWidth="1"/>
    <col min="31" max="31" width="7.8515625" style="14" customWidth="1"/>
    <col min="32" max="32" width="9.140625" style="14" customWidth="1"/>
    <col min="33" max="16384" width="11.57421875" style="14" customWidth="1"/>
  </cols>
  <sheetData>
    <row r="1" spans="2:25" ht="12.75">
      <c r="B1" s="55" t="s">
        <v>67</v>
      </c>
      <c r="Y1" s="14" t="s">
        <v>67</v>
      </c>
    </row>
    <row r="2" spans="2:25" ht="12.75">
      <c r="B2" s="90" t="s">
        <v>7</v>
      </c>
      <c r="C2" s="90"/>
      <c r="D2" s="408" t="str">
        <f>Titel!D7</f>
        <v>NÖ-Landesimkerschule</v>
      </c>
      <c r="E2" s="408"/>
      <c r="F2" s="141"/>
      <c r="Y2" s="14" t="s">
        <v>67</v>
      </c>
    </row>
    <row r="3" spans="2:25" ht="33.75" customHeight="1">
      <c r="B3" s="42" t="s">
        <v>10</v>
      </c>
      <c r="C3" s="91"/>
      <c r="D3" s="141" t="str">
        <f>Titel!D8</f>
        <v>Aichhof 1, 2831 Warth</v>
      </c>
      <c r="E3" s="141"/>
      <c r="F3" s="141"/>
      <c r="P3" s="409" t="s">
        <v>68</v>
      </c>
      <c r="Q3" s="409"/>
      <c r="R3" s="409"/>
      <c r="S3" s="409"/>
      <c r="T3" s="409"/>
      <c r="U3" s="409"/>
      <c r="W3" s="140" t="s">
        <v>12</v>
      </c>
      <c r="X3" s="140">
        <f>Titel!D10</f>
        <v>2011</v>
      </c>
      <c r="Y3" s="14" t="s">
        <v>67</v>
      </c>
    </row>
    <row r="4" spans="2:25" ht="12.75" customHeight="1">
      <c r="B4" s="95" t="s">
        <v>11</v>
      </c>
      <c r="C4" s="95"/>
      <c r="D4" s="408">
        <f>Titel!D9</f>
        <v>123456789</v>
      </c>
      <c r="E4" s="408"/>
      <c r="F4" s="141"/>
      <c r="P4" s="59"/>
      <c r="Q4" s="59"/>
      <c r="R4" s="59"/>
      <c r="S4" s="59"/>
      <c r="T4" s="59"/>
      <c r="U4" s="59"/>
      <c r="W4" s="140"/>
      <c r="X4" s="140"/>
      <c r="Y4" s="14" t="s">
        <v>67</v>
      </c>
    </row>
    <row r="5" ht="13.5" thickBot="1">
      <c r="Y5" s="14" t="s">
        <v>67</v>
      </c>
    </row>
    <row r="6" spans="2:29" ht="25.5" customHeight="1">
      <c r="B6" s="53" t="s">
        <v>69</v>
      </c>
      <c r="C6" s="54"/>
      <c r="D6" s="54"/>
      <c r="E6" s="142"/>
      <c r="F6" s="51" t="s">
        <v>70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39"/>
      <c r="S6" s="51" t="s">
        <v>71</v>
      </c>
      <c r="T6" s="52"/>
      <c r="U6" s="52"/>
      <c r="V6" s="139"/>
      <c r="W6" s="410" t="s">
        <v>72</v>
      </c>
      <c r="X6" s="406" t="s">
        <v>73</v>
      </c>
      <c r="Y6" s="96" t="s">
        <v>67</v>
      </c>
      <c r="AB6" s="12"/>
      <c r="AC6" s="12"/>
    </row>
    <row r="7" spans="2:25" s="17" customFormat="1" ht="38.25" customHeight="1" thickBot="1">
      <c r="B7" s="18" t="s">
        <v>74</v>
      </c>
      <c r="C7" s="19" t="s">
        <v>75</v>
      </c>
      <c r="D7" s="20" t="s">
        <v>76</v>
      </c>
      <c r="E7" s="21" t="s">
        <v>77</v>
      </c>
      <c r="F7" s="22" t="s">
        <v>75</v>
      </c>
      <c r="G7" s="49"/>
      <c r="H7" s="49"/>
      <c r="I7" s="49"/>
      <c r="J7" s="49"/>
      <c r="K7" s="49"/>
      <c r="L7" s="49"/>
      <c r="M7" s="49"/>
      <c r="N7" s="49"/>
      <c r="O7" s="49"/>
      <c r="P7" s="20" t="s">
        <v>76</v>
      </c>
      <c r="Q7" s="23" t="s">
        <v>77</v>
      </c>
      <c r="R7" s="24" t="s">
        <v>78</v>
      </c>
      <c r="S7" s="22" t="s">
        <v>75</v>
      </c>
      <c r="T7" s="20" t="s">
        <v>76</v>
      </c>
      <c r="U7" s="23" t="s">
        <v>77</v>
      </c>
      <c r="V7" s="24" t="s">
        <v>78</v>
      </c>
      <c r="W7" s="411"/>
      <c r="X7" s="407"/>
      <c r="Y7" s="97" t="s">
        <v>79</v>
      </c>
    </row>
    <row r="8" spans="1:33" s="17" customFormat="1" ht="29.25" customHeight="1">
      <c r="A8" s="43"/>
      <c r="B8" s="127" t="str">
        <f>1!$E$6</f>
        <v>1</v>
      </c>
      <c r="C8" s="98">
        <f>'Standl.'!C6</f>
        <v>0</v>
      </c>
      <c r="D8" s="98">
        <f>'Standl.'!D6</f>
        <v>0</v>
      </c>
      <c r="E8" s="99">
        <f>'Standl.'!E6</f>
        <v>0</v>
      </c>
      <c r="F8" s="100">
        <f>'Standl.'!F6</f>
        <v>0</v>
      </c>
      <c r="G8" s="98">
        <f>'Standl.'!G6</f>
        <v>0</v>
      </c>
      <c r="H8" s="98">
        <f>'Standl.'!H6</f>
        <v>0</v>
      </c>
      <c r="I8" s="98">
        <f>'Standl.'!I6</f>
        <v>0</v>
      </c>
      <c r="J8" s="98">
        <f>'Standl.'!J6</f>
        <v>0</v>
      </c>
      <c r="K8" s="98">
        <f>'Standl.'!K6</f>
        <v>0</v>
      </c>
      <c r="L8" s="98">
        <f>'Standl.'!L6</f>
        <v>0</v>
      </c>
      <c r="M8" s="98">
        <f>'Standl.'!M6</f>
        <v>0</v>
      </c>
      <c r="N8" s="98">
        <f>'Standl.'!N6</f>
        <v>0</v>
      </c>
      <c r="O8" s="98">
        <f>'Standl.'!O6</f>
        <v>0</v>
      </c>
      <c r="P8" s="69"/>
      <c r="Q8" s="69">
        <f>H8</f>
        <v>0</v>
      </c>
      <c r="R8" s="70">
        <f>G8</f>
        <v>0</v>
      </c>
      <c r="S8" s="71">
        <f>I8</f>
        <v>0</v>
      </c>
      <c r="T8" s="69"/>
      <c r="U8" s="69">
        <f>K8</f>
        <v>0</v>
      </c>
      <c r="V8" s="70">
        <f>J8</f>
        <v>0</v>
      </c>
      <c r="W8" s="72"/>
      <c r="X8" s="69"/>
      <c r="Y8" s="101" t="s">
        <v>80</v>
      </c>
      <c r="AD8" s="73"/>
      <c r="AE8" s="73"/>
      <c r="AF8" s="73"/>
      <c r="AG8" s="73"/>
    </row>
    <row r="9" spans="1:33" s="17" customFormat="1" ht="45" customHeight="1" hidden="1">
      <c r="A9" s="43"/>
      <c r="B9" s="68"/>
      <c r="C9" s="98">
        <f>'Standl.'!C7</f>
        <v>0</v>
      </c>
      <c r="D9" s="98">
        <f>'Standl.'!D7</f>
        <v>0</v>
      </c>
      <c r="E9" s="99">
        <f>'Standl.'!E7</f>
        <v>0</v>
      </c>
      <c r="F9" s="100">
        <f>'Standl.'!F7</f>
        <v>0</v>
      </c>
      <c r="G9" s="98">
        <f>'Standl.'!G7</f>
        <v>0</v>
      </c>
      <c r="H9" s="98">
        <f>'Standl.'!H7</f>
        <v>0</v>
      </c>
      <c r="I9" s="98">
        <f>'Standl.'!I7</f>
        <v>0</v>
      </c>
      <c r="J9" s="98">
        <f>'Standl.'!J7</f>
        <v>0</v>
      </c>
      <c r="K9" s="98">
        <f>'Standl.'!K7</f>
        <v>0</v>
      </c>
      <c r="L9" s="98">
        <f>'Standl.'!L7</f>
        <v>0</v>
      </c>
      <c r="M9" s="98">
        <f>'Standl.'!M7</f>
        <v>0</v>
      </c>
      <c r="N9" s="98">
        <f>'Standl.'!N7</f>
        <v>0</v>
      </c>
      <c r="O9" s="98">
        <f>'Standl.'!O7</f>
        <v>0</v>
      </c>
      <c r="P9" s="69"/>
      <c r="Q9" s="69">
        <f>H9</f>
        <v>0</v>
      </c>
      <c r="R9" s="70">
        <f>G9</f>
        <v>0</v>
      </c>
      <c r="S9" s="71">
        <f>I9</f>
        <v>0</v>
      </c>
      <c r="T9" s="69"/>
      <c r="U9" s="69">
        <f>K9</f>
        <v>0</v>
      </c>
      <c r="V9" s="70">
        <f>J9</f>
        <v>0</v>
      </c>
      <c r="W9" s="72"/>
      <c r="X9" s="69"/>
      <c r="Y9" s="101" t="s">
        <v>80</v>
      </c>
      <c r="AD9" s="73"/>
      <c r="AE9" s="73"/>
      <c r="AF9" s="73"/>
      <c r="AG9" s="73"/>
    </row>
    <row r="10" spans="1:29" s="29" customFormat="1" ht="45" customHeight="1">
      <c r="A10" s="27"/>
      <c r="B10" s="5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8"/>
      <c r="AC10" s="28"/>
    </row>
    <row r="11" spans="1:33" s="32" customFormat="1" ht="19.5" customHeight="1">
      <c r="A11" s="30"/>
      <c r="B11" s="57"/>
      <c r="C11" s="31"/>
      <c r="E11" s="33"/>
      <c r="Z11" s="12"/>
      <c r="AA11" s="12"/>
      <c r="AB11" s="12"/>
      <c r="AC11" s="12"/>
      <c r="AD11" s="14"/>
      <c r="AE11" s="14"/>
      <c r="AF11" s="14"/>
      <c r="AG11" s="14"/>
    </row>
    <row r="12" spans="3:29" ht="15" customHeight="1">
      <c r="C12" s="34"/>
      <c r="AB12" s="12"/>
      <c r="AC12" s="12"/>
    </row>
    <row r="13" spans="28:29" ht="15" customHeight="1">
      <c r="AB13" s="12"/>
      <c r="AC13" s="12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</sheetData>
  <sheetProtection sheet="1" objects="1" scenarios="1"/>
  <mergeCells count="5">
    <mergeCell ref="X6:X7"/>
    <mergeCell ref="D4:E4"/>
    <mergeCell ref="D2:E2"/>
    <mergeCell ref="P3:U3"/>
    <mergeCell ref="W6:W7"/>
  </mergeCells>
  <printOptions horizontalCentered="1"/>
  <pageMargins left="0.1968503937007874" right="0.1968503937007874" top="0.1968503937007874" bottom="0.275590551181102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N17"/>
  <sheetViews>
    <sheetView showGridLines="0" showZeros="0" zoomScalePageLayoutView="0" workbookViewId="0" topLeftCell="A1">
      <selection activeCell="D8" sqref="D8"/>
    </sheetView>
  </sheetViews>
  <sheetFormatPr defaultColWidth="0" defaultRowHeight="12.75"/>
  <cols>
    <col min="1" max="1" width="1.57421875" style="146" customWidth="1"/>
    <col min="2" max="2" width="10.7109375" style="145" hidden="1" customWidth="1"/>
    <col min="3" max="3" width="8.421875" style="149" hidden="1" customWidth="1"/>
    <col min="4" max="4" width="12.421875" style="153" customWidth="1"/>
    <col min="5" max="5" width="3.421875" style="146" customWidth="1"/>
    <col min="6" max="6" width="6.00390625" style="146" customWidth="1"/>
    <col min="7" max="8" width="6.8515625" style="146" customWidth="1"/>
    <col min="9" max="9" width="5.421875" style="146" customWidth="1"/>
    <col min="10" max="10" width="5.421875" style="146" hidden="1" customWidth="1"/>
    <col min="11" max="11" width="3.421875" style="147" customWidth="1"/>
    <col min="12" max="12" width="5.28125" style="147" customWidth="1"/>
    <col min="13" max="13" width="4.7109375" style="147" customWidth="1"/>
    <col min="14" max="14" width="5.28125" style="146" customWidth="1"/>
    <col min="15" max="15" width="6.7109375" style="148" customWidth="1"/>
    <col min="16" max="16" width="3.28125" style="147" customWidth="1"/>
    <col min="17" max="17" width="5.28125" style="147" customWidth="1"/>
    <col min="18" max="18" width="4.7109375" style="145" customWidth="1"/>
    <col min="19" max="19" width="5.28125" style="146" customWidth="1"/>
    <col min="20" max="20" width="6.7109375" style="146" customWidth="1"/>
    <col min="21" max="21" width="3.28125" style="146" customWidth="1"/>
    <col min="22" max="22" width="5.28125" style="146" customWidth="1"/>
    <col min="23" max="23" width="4.7109375" style="146" customWidth="1"/>
    <col min="24" max="24" width="5.28125" style="146" customWidth="1"/>
    <col min="25" max="25" width="6.7109375" style="146" customWidth="1"/>
    <col min="26" max="26" width="3.28125" style="149" customWidth="1"/>
    <col min="27" max="27" width="5.28125" style="146" customWidth="1"/>
    <col min="28" max="28" width="4.7109375" style="149" customWidth="1"/>
    <col min="29" max="29" width="5.28125" style="146" customWidth="1"/>
    <col min="30" max="30" width="6.7109375" style="146" customWidth="1"/>
    <col min="31" max="31" width="3.28125" style="146" customWidth="1"/>
    <col min="32" max="32" width="5.28125" style="146" customWidth="1"/>
    <col min="33" max="33" width="4.7109375" style="146" customWidth="1"/>
    <col min="34" max="34" width="5.28125" style="146" customWidth="1"/>
    <col min="35" max="35" width="6.7109375" style="146" customWidth="1"/>
    <col min="36" max="36" width="3.28125" style="146" customWidth="1"/>
    <col min="37" max="37" width="5.28125" style="146" customWidth="1"/>
    <col min="38" max="38" width="4.7109375" style="146" customWidth="1"/>
    <col min="39" max="39" width="5.28125" style="146" customWidth="1"/>
    <col min="40" max="40" width="6.7109375" style="146" customWidth="1"/>
    <col min="41" max="41" width="2.140625" style="146" customWidth="1"/>
    <col min="42" max="16384" width="0" style="146" hidden="1" customWidth="1"/>
  </cols>
  <sheetData>
    <row r="1" spans="1:9" ht="16.5" customHeight="1">
      <c r="A1" s="210"/>
      <c r="B1" s="145" t="s">
        <v>67</v>
      </c>
      <c r="C1" s="90" t="s">
        <v>7</v>
      </c>
      <c r="D1" s="211"/>
      <c r="E1" s="95" t="str">
        <f>Titel!D7</f>
        <v>NÖ-Landesimkerschule</v>
      </c>
      <c r="F1" s="95"/>
      <c r="G1" s="95"/>
      <c r="H1" s="95"/>
      <c r="I1" s="95"/>
    </row>
    <row r="2" spans="2:32" ht="16.5" customHeight="1">
      <c r="B2" s="150"/>
      <c r="C2" s="91" t="s">
        <v>10</v>
      </c>
      <c r="D2" s="43"/>
      <c r="E2" s="95" t="str">
        <f>Titel!D8</f>
        <v>Aichhof 1, 2831 Warth</v>
      </c>
      <c r="F2" s="95"/>
      <c r="G2" s="95"/>
      <c r="H2" s="95"/>
      <c r="I2" s="95"/>
      <c r="J2" s="151"/>
      <c r="K2" s="151"/>
      <c r="L2" s="151"/>
      <c r="M2" s="151"/>
      <c r="N2" s="152" t="s">
        <v>81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F2" s="152" t="s">
        <v>81</v>
      </c>
    </row>
    <row r="3" spans="3:7" ht="16.5" customHeight="1" thickBot="1">
      <c r="C3" s="95"/>
      <c r="D3" s="43"/>
      <c r="E3" s="42"/>
      <c r="F3" s="42"/>
      <c r="G3" s="42"/>
    </row>
    <row r="4" spans="2:40" s="94" customFormat="1" ht="11.25">
      <c r="B4" s="43"/>
      <c r="C4" s="43"/>
      <c r="D4" s="333"/>
      <c r="E4" s="43"/>
      <c r="F4" s="154" t="s">
        <v>82</v>
      </c>
      <c r="G4" s="334">
        <f>SUM(Netto_ges.)</f>
        <v>43.070000040000004</v>
      </c>
      <c r="H4" s="335"/>
      <c r="I4" s="336"/>
      <c r="J4" s="337"/>
      <c r="K4" s="338" t="s">
        <v>83</v>
      </c>
      <c r="L4" s="339"/>
      <c r="M4" s="340"/>
      <c r="N4" s="341">
        <f>SUM(Netto_1)</f>
        <v>11.050000010000002</v>
      </c>
      <c r="O4" s="342"/>
      <c r="P4" s="338" t="s">
        <v>83</v>
      </c>
      <c r="Q4" s="343"/>
      <c r="R4" s="340"/>
      <c r="S4" s="341">
        <f>SUM(Netto_2)</f>
        <v>10.620000010000002</v>
      </c>
      <c r="T4" s="342"/>
      <c r="U4" s="338" t="s">
        <v>83</v>
      </c>
      <c r="V4" s="343"/>
      <c r="W4" s="340"/>
      <c r="X4" s="341">
        <f>SUM(Netto_3)</f>
        <v>9.20000001</v>
      </c>
      <c r="Y4" s="342"/>
      <c r="Z4" s="338" t="s">
        <v>83</v>
      </c>
      <c r="AA4" s="343"/>
      <c r="AB4" s="340"/>
      <c r="AC4" s="341">
        <f>SUM(Netto_4)</f>
        <v>12.20000001</v>
      </c>
      <c r="AD4" s="335"/>
      <c r="AE4" s="338" t="s">
        <v>83</v>
      </c>
      <c r="AF4" s="343"/>
      <c r="AG4" s="340"/>
      <c r="AH4" s="341">
        <f>SUM(Netto_3)</f>
        <v>9.20000001</v>
      </c>
      <c r="AI4" s="342"/>
      <c r="AJ4" s="338" t="s">
        <v>83</v>
      </c>
      <c r="AK4" s="343"/>
      <c r="AL4" s="340"/>
      <c r="AM4" s="341">
        <f>SUM(Netto_4)</f>
        <v>12.20000001</v>
      </c>
      <c r="AN4" s="335"/>
    </row>
    <row r="5" spans="4:40" ht="16.5" thickBot="1">
      <c r="D5" s="155" t="s">
        <v>84</v>
      </c>
      <c r="E5" s="149"/>
      <c r="F5" s="156" t="s">
        <v>85</v>
      </c>
      <c r="G5" s="157">
        <f>summenetto/Anzahl</f>
        <v>43.070000040000004</v>
      </c>
      <c r="H5" s="158" t="s">
        <v>86</v>
      </c>
      <c r="I5" s="159">
        <f>IF(SUM(St.Anzahl)=0,0,SUM(Anzahl_Sl)/SUM(St.Anzahl))</f>
        <v>4.0001</v>
      </c>
      <c r="J5" s="160">
        <f>IF(SUM(St.Anzahl)=0,0.00001,SUM(St.Anzahl))</f>
        <v>1</v>
      </c>
      <c r="K5" s="161" t="s">
        <v>85</v>
      </c>
      <c r="L5" s="162"/>
      <c r="M5" s="163"/>
      <c r="N5" s="164">
        <f>SUM(Netto_1)/Anzahl</f>
        <v>11.050000010000002</v>
      </c>
      <c r="O5" s="165" t="str">
        <f>IF(dur1&lt;0.1,""," =100%")</f>
        <v> =100%</v>
      </c>
      <c r="P5" s="166" t="s">
        <v>85</v>
      </c>
      <c r="Q5" s="167"/>
      <c r="R5" s="163"/>
      <c r="S5" s="164">
        <f>SUM(Netto_2)/Anzahl</f>
        <v>10.620000010000002</v>
      </c>
      <c r="T5" s="165" t="str">
        <f>IF(dur2&lt;0.1,""," =100%")</f>
        <v> =100%</v>
      </c>
      <c r="U5" s="166" t="s">
        <v>85</v>
      </c>
      <c r="V5" s="167"/>
      <c r="W5" s="163"/>
      <c r="X5" s="164">
        <f>SUM(Netto_3)/Anzahl</f>
        <v>9.20000001</v>
      </c>
      <c r="Y5" s="165" t="str">
        <f>IF(dur3&lt;0.1,""," =100%")</f>
        <v> =100%</v>
      </c>
      <c r="Z5" s="166" t="s">
        <v>85</v>
      </c>
      <c r="AA5" s="167"/>
      <c r="AB5" s="163"/>
      <c r="AC5" s="164">
        <f>SUM(Netto_4)/Anzahl</f>
        <v>12.20000001</v>
      </c>
      <c r="AD5" s="168" t="str">
        <f>IF(dur4&lt;0.1,""," =100%")</f>
        <v> =100%</v>
      </c>
      <c r="AE5" s="166" t="s">
        <v>85</v>
      </c>
      <c r="AF5" s="167"/>
      <c r="AG5" s="163"/>
      <c r="AH5" s="164">
        <f>SUM(Netto_5)/Anzahl</f>
        <v>9.20000001</v>
      </c>
      <c r="AI5" s="165" t="str">
        <f>IF(dur3&lt;0.1,""," =100%")</f>
        <v> =100%</v>
      </c>
      <c r="AJ5" s="166" t="s">
        <v>85</v>
      </c>
      <c r="AK5" s="167"/>
      <c r="AL5" s="163"/>
      <c r="AM5" s="164">
        <f>SUM(Netto_6)/Anzahl</f>
        <v>12.20000001</v>
      </c>
      <c r="AN5" s="168" t="str">
        <f>IF(dur4&lt;0.1,""," =100%")</f>
        <v> =100%</v>
      </c>
    </row>
    <row r="6" spans="4:38" ht="26.25" thickBot="1">
      <c r="D6" s="212" t="s">
        <v>87</v>
      </c>
      <c r="E6" s="169"/>
      <c r="F6" s="170"/>
      <c r="G6" s="171"/>
      <c r="H6" s="172"/>
      <c r="I6" s="160"/>
      <c r="J6" s="160"/>
      <c r="K6" s="146"/>
      <c r="L6" s="146"/>
      <c r="M6" s="146"/>
      <c r="N6" s="171"/>
      <c r="O6" s="172"/>
      <c r="AJ6" s="149"/>
      <c r="AL6" s="149"/>
    </row>
    <row r="7" spans="5:40" ht="12.75">
      <c r="E7" s="149"/>
      <c r="K7" s="173" t="s">
        <v>88</v>
      </c>
      <c r="L7" s="414" t="s">
        <v>89</v>
      </c>
      <c r="M7" s="414"/>
      <c r="N7" s="417"/>
      <c r="O7" s="418"/>
      <c r="P7" s="173" t="s">
        <v>90</v>
      </c>
      <c r="Q7" s="414" t="s">
        <v>89</v>
      </c>
      <c r="R7" s="414"/>
      <c r="S7" s="417"/>
      <c r="T7" s="418"/>
      <c r="U7" s="173" t="s">
        <v>91</v>
      </c>
      <c r="V7" s="414" t="s">
        <v>89</v>
      </c>
      <c r="W7" s="414"/>
      <c r="X7" s="417"/>
      <c r="Y7" s="418"/>
      <c r="Z7" s="173" t="s">
        <v>92</v>
      </c>
      <c r="AA7" s="414" t="s">
        <v>89</v>
      </c>
      <c r="AB7" s="414"/>
      <c r="AC7" s="417"/>
      <c r="AD7" s="418"/>
      <c r="AE7" s="173" t="s">
        <v>183</v>
      </c>
      <c r="AF7" s="414" t="s">
        <v>89</v>
      </c>
      <c r="AG7" s="414"/>
      <c r="AH7" s="417"/>
      <c r="AI7" s="418"/>
      <c r="AJ7" s="173" t="s">
        <v>184</v>
      </c>
      <c r="AK7" s="414" t="s">
        <v>89</v>
      </c>
      <c r="AL7" s="414"/>
      <c r="AM7" s="417"/>
      <c r="AN7" s="418"/>
    </row>
    <row r="8" spans="3:40" ht="12.75">
      <c r="C8" s="147" t="s">
        <v>93</v>
      </c>
      <c r="D8" s="377">
        <f>Anzahl*0.15</f>
        <v>0.15</v>
      </c>
      <c r="E8" s="174"/>
      <c r="F8" s="2"/>
      <c r="G8" s="175">
        <f>ROUNDDOWN(Anzahl*0.15,0)+1</f>
        <v>1</v>
      </c>
      <c r="K8" s="415" t="s">
        <v>13</v>
      </c>
      <c r="L8" s="416"/>
      <c r="M8" s="412" t="str">
        <f>Titel!F10</f>
        <v>Höllental</v>
      </c>
      <c r="N8" s="412"/>
      <c r="O8" s="413"/>
      <c r="P8" s="415" t="s">
        <v>13</v>
      </c>
      <c r="Q8" s="416"/>
      <c r="R8" s="412">
        <f>Titel!F11</f>
        <v>0</v>
      </c>
      <c r="S8" s="412"/>
      <c r="T8" s="413"/>
      <c r="U8" s="415" t="s">
        <v>13</v>
      </c>
      <c r="V8" s="416"/>
      <c r="W8" s="412">
        <f>Titel!F12</f>
        <v>0</v>
      </c>
      <c r="X8" s="412"/>
      <c r="Y8" s="413"/>
      <c r="Z8" s="176" t="s">
        <v>13</v>
      </c>
      <c r="AA8" s="177"/>
      <c r="AB8" s="412">
        <f>Titel!F13</f>
        <v>0</v>
      </c>
      <c r="AC8" s="412"/>
      <c r="AD8" s="413"/>
      <c r="AE8" s="415" t="s">
        <v>13</v>
      </c>
      <c r="AF8" s="416"/>
      <c r="AG8" s="412">
        <f>Titel!P12</f>
        <v>0</v>
      </c>
      <c r="AH8" s="412"/>
      <c r="AI8" s="413"/>
      <c r="AJ8" s="176" t="s">
        <v>13</v>
      </c>
      <c r="AK8" s="177"/>
      <c r="AL8" s="412">
        <f>Titel!P13</f>
        <v>0</v>
      </c>
      <c r="AM8" s="412"/>
      <c r="AN8" s="413"/>
    </row>
    <row r="9" spans="11:40" ht="13.5" thickBot="1">
      <c r="K9" s="178" t="s">
        <v>94</v>
      </c>
      <c r="L9" s="179"/>
      <c r="M9" s="179"/>
      <c r="N9" s="419"/>
      <c r="O9" s="420"/>
      <c r="P9" s="178" t="s">
        <v>94</v>
      </c>
      <c r="Q9" s="179"/>
      <c r="R9" s="179"/>
      <c r="S9" s="419"/>
      <c r="T9" s="420"/>
      <c r="U9" s="178" t="s">
        <v>94</v>
      </c>
      <c r="V9" s="179"/>
      <c r="W9" s="179"/>
      <c r="X9" s="419"/>
      <c r="Y9" s="420"/>
      <c r="Z9" s="178" t="s">
        <v>94</v>
      </c>
      <c r="AA9" s="179"/>
      <c r="AB9" s="179"/>
      <c r="AC9" s="419"/>
      <c r="AD9" s="420"/>
      <c r="AE9" s="178" t="s">
        <v>94</v>
      </c>
      <c r="AF9" s="179"/>
      <c r="AG9" s="179"/>
      <c r="AH9" s="419"/>
      <c r="AI9" s="420"/>
      <c r="AJ9" s="178" t="s">
        <v>94</v>
      </c>
      <c r="AK9" s="179"/>
      <c r="AL9" s="179"/>
      <c r="AM9" s="419"/>
      <c r="AN9" s="420"/>
    </row>
    <row r="10" spans="2:40" s="192" customFormat="1" ht="57" customHeight="1">
      <c r="B10" s="180" t="s">
        <v>95</v>
      </c>
      <c r="C10" s="181" t="s">
        <v>89</v>
      </c>
      <c r="D10" s="182" t="s">
        <v>96</v>
      </c>
      <c r="E10" s="183" t="s">
        <v>97</v>
      </c>
      <c r="F10" s="184" t="s">
        <v>98</v>
      </c>
      <c r="G10" s="185" t="s">
        <v>99</v>
      </c>
      <c r="H10" s="186" t="s">
        <v>100</v>
      </c>
      <c r="I10" s="187" t="s">
        <v>101</v>
      </c>
      <c r="J10" s="187" t="s">
        <v>102</v>
      </c>
      <c r="K10" s="188" t="s">
        <v>103</v>
      </c>
      <c r="L10" s="183" t="s">
        <v>104</v>
      </c>
      <c r="M10" s="183" t="s">
        <v>105</v>
      </c>
      <c r="N10" s="189" t="s">
        <v>106</v>
      </c>
      <c r="O10" s="190" t="s">
        <v>100</v>
      </c>
      <c r="P10" s="188" t="s">
        <v>103</v>
      </c>
      <c r="Q10" s="183" t="s">
        <v>104</v>
      </c>
      <c r="R10" s="183" t="s">
        <v>105</v>
      </c>
      <c r="S10" s="189" t="s">
        <v>106</v>
      </c>
      <c r="T10" s="190" t="s">
        <v>100</v>
      </c>
      <c r="U10" s="188" t="s">
        <v>103</v>
      </c>
      <c r="V10" s="189" t="s">
        <v>104</v>
      </c>
      <c r="W10" s="189" t="s">
        <v>105</v>
      </c>
      <c r="X10" s="189" t="s">
        <v>106</v>
      </c>
      <c r="Y10" s="190" t="s">
        <v>100</v>
      </c>
      <c r="Z10" s="188" t="s">
        <v>103</v>
      </c>
      <c r="AA10" s="189" t="s">
        <v>104</v>
      </c>
      <c r="AB10" s="189" t="s">
        <v>105</v>
      </c>
      <c r="AC10" s="189" t="s">
        <v>106</v>
      </c>
      <c r="AD10" s="191" t="s">
        <v>100</v>
      </c>
      <c r="AE10" s="188" t="s">
        <v>103</v>
      </c>
      <c r="AF10" s="189" t="s">
        <v>104</v>
      </c>
      <c r="AG10" s="189" t="s">
        <v>105</v>
      </c>
      <c r="AH10" s="189" t="s">
        <v>106</v>
      </c>
      <c r="AI10" s="190" t="s">
        <v>100</v>
      </c>
      <c r="AJ10" s="188" t="s">
        <v>103</v>
      </c>
      <c r="AK10" s="189" t="s">
        <v>104</v>
      </c>
      <c r="AL10" s="189" t="s">
        <v>105</v>
      </c>
      <c r="AM10" s="189" t="s">
        <v>106</v>
      </c>
      <c r="AN10" s="191" t="s">
        <v>100</v>
      </c>
    </row>
    <row r="11" spans="2:40" ht="24.75" customHeight="1">
      <c r="B11" s="193">
        <v>1</v>
      </c>
      <c r="C11" s="194"/>
      <c r="D11" s="361" t="str">
        <f>1!$E$6</f>
        <v>1</v>
      </c>
      <c r="E11" s="213"/>
      <c r="F11" s="196">
        <f>IF(E11=1,N11,IF(E11=2,N11+S11,0.000001))</f>
        <v>1E-06</v>
      </c>
      <c r="G11" s="197">
        <f>IF((N11+S11+X11+AC11)=0,0.000001,N11+S11+X11+AC11)</f>
        <v>43.07</v>
      </c>
      <c r="H11" s="198">
        <f>IF(I11&lt;0.1,0.000001,G11/durchschn)</f>
        <v>0.9999999990712792</v>
      </c>
      <c r="I11" s="199">
        <f>IF(COUNT(L11,Q11,V11,AA11)=0,0.0001,COUNT(L11,Q11,V11,AA11))</f>
        <v>4</v>
      </c>
      <c r="J11" s="199">
        <f>IF(I11&gt;0.1,1,0)</f>
        <v>1</v>
      </c>
      <c r="K11" s="381"/>
      <c r="L11" s="93">
        <v>14.25</v>
      </c>
      <c r="M11" s="93">
        <v>3.2</v>
      </c>
      <c r="N11" s="200">
        <f>IF(L11-M11=0,0.00000001,L11-M11)</f>
        <v>11.05</v>
      </c>
      <c r="O11" s="380">
        <f>IF(N11=0.000001,N11,N11/dur1)</f>
        <v>0.9999999990950226</v>
      </c>
      <c r="P11" s="381"/>
      <c r="Q11" s="93">
        <v>13.8</v>
      </c>
      <c r="R11" s="93">
        <v>3.18</v>
      </c>
      <c r="S11" s="200">
        <f>IF(Q11-R11=0,0.00000001,Q11-R11)</f>
        <v>10.620000000000001</v>
      </c>
      <c r="T11" s="201">
        <f>IF(S11=0.000001,S11,S11/dur2)</f>
        <v>0.9999999990583803</v>
      </c>
      <c r="U11" s="381"/>
      <c r="V11" s="93">
        <v>11.6</v>
      </c>
      <c r="W11" s="93">
        <v>2.4</v>
      </c>
      <c r="X11" s="200">
        <f>IF(V11-W11=0,0.00000001,V11-W11)</f>
        <v>9.2</v>
      </c>
      <c r="Y11" s="201">
        <f>IF(X11=0.000001,X11,X11/dur3)</f>
        <v>0.9999999989130434</v>
      </c>
      <c r="Z11" s="381"/>
      <c r="AA11" s="93">
        <v>15.2</v>
      </c>
      <c r="AB11" s="93">
        <v>3</v>
      </c>
      <c r="AC11" s="200">
        <f>IF(AA11-AB11=0,0.00000001,AA11-AB11)</f>
        <v>12.2</v>
      </c>
      <c r="AD11" s="202">
        <f>IF(AC11=0.000001,AC11,AC11/dur4)</f>
        <v>0.9999999991803278</v>
      </c>
      <c r="AE11" s="381"/>
      <c r="AF11" s="93">
        <v>11.6</v>
      </c>
      <c r="AG11" s="93">
        <v>2.4</v>
      </c>
      <c r="AH11" s="200">
        <f>IF(AF11-AG11=0,0.00000001,AF11-AG11)</f>
        <v>9.2</v>
      </c>
      <c r="AI11" s="201">
        <f>IF(AH11=0.000001,AH11,AH11/dur3)</f>
        <v>0.9999999989130434</v>
      </c>
      <c r="AJ11" s="381"/>
      <c r="AK11" s="93">
        <v>15.2</v>
      </c>
      <c r="AL11" s="93">
        <v>3</v>
      </c>
      <c r="AM11" s="200">
        <f>IF(AK11-AL11=0,0.00000001,AK11-AL11)</f>
        <v>12.2</v>
      </c>
      <c r="AN11" s="202">
        <f>IF(AM11=0.000001,AM11,AM11/dur4)</f>
        <v>0.9999999991803278</v>
      </c>
    </row>
    <row r="12" spans="2:40" s="74" customFormat="1" ht="0.75" customHeight="1" hidden="1">
      <c r="B12" s="193">
        <v>0</v>
      </c>
      <c r="C12" s="194"/>
      <c r="D12" s="195"/>
      <c r="E12" s="213"/>
      <c r="F12" s="196">
        <f>IF(E12=1,N12,IF(E12=2,N12+S12,0.000001))</f>
        <v>1E-06</v>
      </c>
      <c r="G12" s="197">
        <f>IF((N12+S12+X12+AC12)=0,0.000001,N12+S12+X12+AC12)</f>
        <v>4E-08</v>
      </c>
      <c r="H12" s="198">
        <f>IF(I12&lt;0.1,0.000001,G12/durchschn)</f>
        <v>1E-06</v>
      </c>
      <c r="I12" s="199">
        <f>IF(COUNT(L12,Q12,V12,AA12)=0,0.0001,COUNT(L12,Q12,V12,AA12))</f>
        <v>0.0001</v>
      </c>
      <c r="J12" s="199">
        <f>IF(I12&gt;0.1,1,0)</f>
        <v>0</v>
      </c>
      <c r="K12" s="381"/>
      <c r="L12" s="93"/>
      <c r="M12" s="93"/>
      <c r="N12" s="200">
        <f>IF(L12-M12=0,0.00000001,L12-M12)</f>
        <v>1E-08</v>
      </c>
      <c r="O12" s="201">
        <f>IF(N12=0.000001,N12,N12/dur1)</f>
        <v>9.049773747466267E-10</v>
      </c>
      <c r="P12" s="381"/>
      <c r="Q12" s="93"/>
      <c r="R12" s="93"/>
      <c r="S12" s="200">
        <f>IF(Q12-R12=0,0.00000001,Q12-R12)</f>
        <v>1E-08</v>
      </c>
      <c r="T12" s="201">
        <f>IF(S12=0.000001,S12,S12/dur2)</f>
        <v>9.416195848007347E-10</v>
      </c>
      <c r="U12" s="381"/>
      <c r="V12" s="93"/>
      <c r="W12" s="93"/>
      <c r="X12" s="200">
        <f>IF(V12-W12=0,0.00000001,V12-W12)</f>
        <v>1E-08</v>
      </c>
      <c r="Y12" s="201">
        <f>IF(X12=0.000001,X12,X12/dur3)</f>
        <v>1.086956520557656E-09</v>
      </c>
      <c r="Z12" s="381"/>
      <c r="AA12" s="93"/>
      <c r="AB12" s="93"/>
      <c r="AC12" s="200">
        <f>IF(AA12-AB12=0,0.00000001,AA12-AB12)</f>
        <v>1E-08</v>
      </c>
      <c r="AD12" s="202">
        <f>IF(AC12=0.000001,AC12,AC12/dur4)</f>
        <v>8.196721304756786E-10</v>
      </c>
      <c r="AE12" s="381"/>
      <c r="AF12" s="93"/>
      <c r="AG12" s="93"/>
      <c r="AH12" s="200">
        <f>IF(AF12-AG12=0,0.00000001,AF12-AG12)</f>
        <v>1E-08</v>
      </c>
      <c r="AI12" s="201">
        <f>IF(AH12=0.000001,AH12,AH12/dur3)</f>
        <v>1.086956520557656E-09</v>
      </c>
      <c r="AJ12" s="381"/>
      <c r="AK12" s="93"/>
      <c r="AL12" s="93"/>
      <c r="AM12" s="200">
        <f>IF(AK12-AL12=0,0.00000001,AK12-AL12)</f>
        <v>1E-08</v>
      </c>
      <c r="AN12" s="202">
        <f>IF(AM12=0.000001,AM12,AM12/dur4)</f>
        <v>8.196721304756786E-10</v>
      </c>
    </row>
    <row r="13" spans="5:40" ht="0" customHeight="1" hidden="1">
      <c r="E13" s="214"/>
      <c r="I13" s="204"/>
      <c r="J13" s="205"/>
      <c r="K13" s="381"/>
      <c r="L13" s="206"/>
      <c r="M13" s="206"/>
      <c r="N13" s="206"/>
      <c r="O13" s="149"/>
      <c r="P13" s="381">
        <v>4</v>
      </c>
      <c r="Q13" s="206"/>
      <c r="R13" s="207"/>
      <c r="S13" s="206"/>
      <c r="U13" s="381"/>
      <c r="V13" s="208"/>
      <c r="W13" s="208"/>
      <c r="X13" s="206"/>
      <c r="Z13" s="381"/>
      <c r="AA13" s="208"/>
      <c r="AB13" s="209"/>
      <c r="AC13" s="206"/>
      <c r="AE13" s="381"/>
      <c r="AF13" s="203"/>
      <c r="AG13" s="203"/>
      <c r="AH13" s="203"/>
      <c r="AI13" s="203"/>
      <c r="AJ13" s="381"/>
      <c r="AM13" s="200">
        <f>IF(AK13-AL13=0,0.00000001,AK13-AL13)</f>
        <v>1E-08</v>
      </c>
      <c r="AN13" s="202">
        <f>IF(AM13=0.000001,AM13,AM13/dur4)</f>
        <v>8.196721304756786E-10</v>
      </c>
    </row>
    <row r="14" spans="11:28" ht="15" customHeight="1">
      <c r="K14" s="146"/>
      <c r="L14" s="146"/>
      <c r="M14" s="146"/>
      <c r="O14" s="146"/>
      <c r="P14" s="146"/>
      <c r="Q14" s="146"/>
      <c r="R14" s="146"/>
      <c r="Z14" s="146"/>
      <c r="AB14" s="146"/>
    </row>
    <row r="15" ht="12.75">
      <c r="O15" s="149"/>
    </row>
    <row r="16" ht="12.75">
      <c r="O16" s="149"/>
    </row>
    <row r="17" ht="12.75">
      <c r="G17" s="146">
        <f>0/1</f>
        <v>0</v>
      </c>
    </row>
  </sheetData>
  <sheetProtection sheet="1" objects="1" scenarios="1"/>
  <autoFilter ref="H10:H12"/>
  <mergeCells count="28">
    <mergeCell ref="AE8:AF8"/>
    <mergeCell ref="AG8:AI8"/>
    <mergeCell ref="AL8:AN8"/>
    <mergeCell ref="AF7:AG7"/>
    <mergeCell ref="AH7:AI7"/>
    <mergeCell ref="AH9:AI9"/>
    <mergeCell ref="AM9:AN9"/>
    <mergeCell ref="AK7:AL7"/>
    <mergeCell ref="AM7:AN7"/>
    <mergeCell ref="AB8:AD8"/>
    <mergeCell ref="AC7:AD7"/>
    <mergeCell ref="N9:O9"/>
    <mergeCell ref="S9:T9"/>
    <mergeCell ref="X9:Y9"/>
    <mergeCell ref="AC9:AD9"/>
    <mergeCell ref="AA7:AB7"/>
    <mergeCell ref="N7:O7"/>
    <mergeCell ref="S7:T7"/>
    <mergeCell ref="X7:Y7"/>
    <mergeCell ref="W8:Y8"/>
    <mergeCell ref="L7:M7"/>
    <mergeCell ref="Q7:R7"/>
    <mergeCell ref="V7:W7"/>
    <mergeCell ref="K8:L8"/>
    <mergeCell ref="P8:Q8"/>
    <mergeCell ref="U8:V8"/>
    <mergeCell ref="M8:O8"/>
    <mergeCell ref="R8:T8"/>
  </mergeCells>
  <printOptions/>
  <pageMargins left="0.2755905511811024" right="0.2755905511811024" top="0.1968503937007874" bottom="0.1968503937007874" header="0" footer="0"/>
  <pageSetup horizontalDpi="300" verticalDpi="300" orientation="landscape" paperSize="9" r:id="rId1"/>
  <colBreaks count="1" manualBreakCount="1">
    <brk id="3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H14"/>
  <sheetViews>
    <sheetView showGridLines="0" zoomScalePageLayoutView="0" workbookViewId="0" topLeftCell="A1">
      <selection activeCell="B7" sqref="B7"/>
    </sheetView>
  </sheetViews>
  <sheetFormatPr defaultColWidth="11.57421875" defaultRowHeight="12.75"/>
  <cols>
    <col min="1" max="1" width="3.421875" style="12" customWidth="1"/>
    <col min="2" max="2" width="6.421875" style="55" customWidth="1"/>
    <col min="3" max="3" width="8.140625" style="13" customWidth="1"/>
    <col min="4" max="4" width="11.140625" style="14" customWidth="1"/>
    <col min="5" max="12" width="4.7109375" style="14" hidden="1" customWidth="1"/>
    <col min="13" max="14" width="4.7109375" style="129" hidden="1" customWidth="1"/>
    <col min="15" max="15" width="4.7109375" style="14" hidden="1" customWidth="1"/>
    <col min="16" max="16" width="11.140625" style="14" customWidth="1"/>
    <col min="17" max="19" width="8.140625" style="14" customWidth="1"/>
    <col min="20" max="21" width="5.421875" style="14" customWidth="1"/>
    <col min="22" max="23" width="5.421875" style="12" customWidth="1"/>
    <col min="24" max="25" width="6.8515625" style="14" customWidth="1"/>
    <col min="26" max="29" width="4.00390625" style="14" customWidth="1"/>
    <col min="30" max="30" width="8.421875" style="14" customWidth="1"/>
    <col min="31" max="31" width="9.00390625" style="14" customWidth="1"/>
    <col min="32" max="16384" width="11.57421875" style="14" customWidth="1"/>
  </cols>
  <sheetData>
    <row r="1" spans="1:29" ht="12.75">
      <c r="A1" s="374" t="s">
        <v>67</v>
      </c>
      <c r="B1" s="92" t="s">
        <v>7</v>
      </c>
      <c r="C1" s="14"/>
      <c r="D1" s="90"/>
      <c r="E1" s="143" t="str">
        <f>Titel!D7</f>
        <v>NÖ-Landesimkerschule</v>
      </c>
      <c r="F1" s="143"/>
      <c r="G1" s="143"/>
      <c r="H1" s="143"/>
      <c r="I1" s="143"/>
      <c r="AA1" s="42" t="s">
        <v>10</v>
      </c>
      <c r="AB1" s="42"/>
      <c r="AC1" s="42"/>
    </row>
    <row r="2" spans="2:31" ht="23.25">
      <c r="B2" s="73" t="str">
        <f>Titel!D7</f>
        <v>NÖ-Landesimkerschule</v>
      </c>
      <c r="C2" s="14"/>
      <c r="D2" s="91"/>
      <c r="E2" s="143" t="str">
        <f>Titel!D8</f>
        <v>Aichhof 1, 2831 Warth</v>
      </c>
      <c r="F2" s="143"/>
      <c r="G2" s="143"/>
      <c r="H2" s="143"/>
      <c r="I2" s="143"/>
      <c r="P2" s="73"/>
      <c r="S2" s="144" t="s">
        <v>107</v>
      </c>
      <c r="T2" s="144"/>
      <c r="U2" s="144"/>
      <c r="V2" s="144"/>
      <c r="W2" s="144"/>
      <c r="X2" s="144"/>
      <c r="AA2" s="141" t="str">
        <f>Titel!D8</f>
        <v>Aichhof 1, 2831 Warth</v>
      </c>
      <c r="AB2" s="141"/>
      <c r="AC2" s="141"/>
      <c r="AD2" s="141"/>
      <c r="AE2" s="141"/>
    </row>
    <row r="3" spans="24:25" ht="13.5" thickBot="1">
      <c r="X3" s="12"/>
      <c r="Y3" s="12"/>
    </row>
    <row r="4" spans="2:31" ht="25.5" customHeight="1">
      <c r="B4" s="53" t="s">
        <v>69</v>
      </c>
      <c r="C4" s="54"/>
      <c r="D4" s="54"/>
      <c r="E4" s="40"/>
      <c r="F4" s="40"/>
      <c r="G4" s="40"/>
      <c r="H4" s="40"/>
      <c r="I4" s="40"/>
      <c r="J4" s="40"/>
      <c r="K4" s="40"/>
      <c r="L4" s="40"/>
      <c r="M4" s="130"/>
      <c r="N4" s="130"/>
      <c r="O4" s="40"/>
      <c r="P4" s="51" t="s">
        <v>70</v>
      </c>
      <c r="Q4" s="52"/>
      <c r="R4" s="51" t="s">
        <v>71</v>
      </c>
      <c r="S4" s="52"/>
      <c r="T4" s="15"/>
      <c r="U4" s="16"/>
      <c r="V4" s="16"/>
      <c r="W4" s="60"/>
      <c r="X4" s="64" t="s">
        <v>108</v>
      </c>
      <c r="Y4" s="65" t="s">
        <v>108</v>
      </c>
      <c r="Z4" s="62"/>
      <c r="AA4" s="16"/>
      <c r="AB4" s="16"/>
      <c r="AC4" s="16"/>
      <c r="AD4" s="16"/>
      <c r="AE4" s="16"/>
    </row>
    <row r="5" spans="2:31" s="17" customFormat="1" ht="38.25" customHeight="1" thickBot="1">
      <c r="B5" s="18" t="s">
        <v>74</v>
      </c>
      <c r="C5" s="19" t="s">
        <v>75</v>
      </c>
      <c r="D5" s="20" t="s">
        <v>76</v>
      </c>
      <c r="E5" s="50"/>
      <c r="F5" s="50"/>
      <c r="G5" s="50"/>
      <c r="H5" s="50"/>
      <c r="I5" s="50"/>
      <c r="J5" s="50"/>
      <c r="K5" s="50"/>
      <c r="L5" s="50"/>
      <c r="M5" s="131"/>
      <c r="N5" s="131"/>
      <c r="O5" s="50"/>
      <c r="P5" s="22" t="s">
        <v>75</v>
      </c>
      <c r="Q5" s="23" t="s">
        <v>77</v>
      </c>
      <c r="R5" s="22" t="s">
        <v>75</v>
      </c>
      <c r="S5" s="23" t="s">
        <v>77</v>
      </c>
      <c r="T5" s="25" t="s">
        <v>109</v>
      </c>
      <c r="U5" s="26" t="s">
        <v>110</v>
      </c>
      <c r="V5" s="26" t="s">
        <v>111</v>
      </c>
      <c r="W5" s="61" t="s">
        <v>112</v>
      </c>
      <c r="X5" s="66" t="s">
        <v>113</v>
      </c>
      <c r="Y5" s="67" t="s">
        <v>114</v>
      </c>
      <c r="Z5" s="63" t="s">
        <v>115</v>
      </c>
      <c r="AA5" s="26" t="s">
        <v>116</v>
      </c>
      <c r="AB5" s="26" t="s">
        <v>117</v>
      </c>
      <c r="AC5" s="26" t="s">
        <v>118</v>
      </c>
      <c r="AD5" s="26" t="s">
        <v>119</v>
      </c>
      <c r="AE5" s="26" t="s">
        <v>120</v>
      </c>
    </row>
    <row r="6" spans="1:31" s="17" customFormat="1" ht="20.25" customHeight="1">
      <c r="A6" s="43"/>
      <c r="B6" s="127" t="str">
        <f>1!$E$6</f>
        <v>1</v>
      </c>
      <c r="C6" s="126">
        <f>1!$E$7</f>
        <v>0</v>
      </c>
      <c r="D6" s="126">
        <f>1!$E$8</f>
        <v>0</v>
      </c>
      <c r="E6" s="126">
        <f>1!$E$9</f>
        <v>0</v>
      </c>
      <c r="F6" s="126">
        <f>1!$L$7</f>
        <v>0</v>
      </c>
      <c r="G6" s="126">
        <f>1!$L$8</f>
        <v>0</v>
      </c>
      <c r="H6" s="126">
        <f>1!$L$9</f>
        <v>0</v>
      </c>
      <c r="I6" s="126">
        <f>1!$P$7</f>
        <v>0</v>
      </c>
      <c r="J6" s="126">
        <f>1!$P$8</f>
        <v>0</v>
      </c>
      <c r="K6" s="126">
        <f>1!$P$9</f>
        <v>0</v>
      </c>
      <c r="L6" s="126">
        <f>1!$P$10</f>
        <v>0</v>
      </c>
      <c r="M6" s="133">
        <f>1!$I$33</f>
        <v>0</v>
      </c>
      <c r="N6" s="133">
        <f>1!$J$33</f>
        <v>0</v>
      </c>
      <c r="O6" s="128">
        <f>1!$K$33</f>
        <v>0</v>
      </c>
      <c r="P6" s="111">
        <f>F6</f>
        <v>0</v>
      </c>
      <c r="Q6" s="112">
        <f>H6</f>
        <v>0</v>
      </c>
      <c r="R6" s="111">
        <f>I6</f>
        <v>0</v>
      </c>
      <c r="S6" s="113">
        <f>K6</f>
        <v>0</v>
      </c>
      <c r="T6" s="137"/>
      <c r="U6" s="115">
        <f aca="true" t="shared" si="0" ref="U6:W7">M6</f>
        <v>0</v>
      </c>
      <c r="V6" s="115">
        <f t="shared" si="0"/>
        <v>0</v>
      </c>
      <c r="W6" s="116">
        <f t="shared" si="0"/>
        <v>0</v>
      </c>
      <c r="X6" s="119">
        <f>'Schleuderl.'!F11</f>
        <v>1E-06</v>
      </c>
      <c r="Y6" s="120">
        <f>'Schleuderl.'!G11</f>
        <v>43.07</v>
      </c>
      <c r="Z6" s="103"/>
      <c r="AA6" s="104"/>
      <c r="AB6" s="104"/>
      <c r="AC6" s="104"/>
      <c r="AD6" s="104"/>
      <c r="AE6" s="108"/>
    </row>
    <row r="7" spans="1:31" s="17" customFormat="1" ht="20.25" customHeight="1" hidden="1">
      <c r="A7" s="43"/>
      <c r="B7" s="105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32"/>
      <c r="N7" s="132"/>
      <c r="O7" s="114"/>
      <c r="P7" s="111">
        <f>F7</f>
        <v>0</v>
      </c>
      <c r="Q7" s="112">
        <f>H7</f>
        <v>0</v>
      </c>
      <c r="R7" s="111">
        <f>I7</f>
        <v>0</v>
      </c>
      <c r="S7" s="113">
        <f>K7</f>
        <v>0</v>
      </c>
      <c r="T7" s="137"/>
      <c r="U7" s="115">
        <f t="shared" si="0"/>
        <v>0</v>
      </c>
      <c r="V7" s="115">
        <f t="shared" si="0"/>
        <v>0</v>
      </c>
      <c r="W7" s="116">
        <f t="shared" si="0"/>
        <v>0</v>
      </c>
      <c r="X7" s="119">
        <f>'Schleuderl.'!F12</f>
        <v>1E-06</v>
      </c>
      <c r="Y7" s="120">
        <f>'Schleuderl.'!G12</f>
        <v>4E-08</v>
      </c>
      <c r="Z7" s="103"/>
      <c r="AA7" s="104"/>
      <c r="AB7" s="104"/>
      <c r="AC7" s="104"/>
      <c r="AD7" s="104"/>
      <c r="AE7" s="108"/>
    </row>
    <row r="8" spans="1:34" s="17" customFormat="1" ht="20.25" customHeight="1">
      <c r="A8" s="43"/>
      <c r="B8" s="106"/>
      <c r="C8" s="107"/>
      <c r="D8" s="107"/>
      <c r="E8" s="43"/>
      <c r="F8" s="43"/>
      <c r="G8" s="43"/>
      <c r="H8" s="43"/>
      <c r="I8" s="43"/>
      <c r="J8" s="43"/>
      <c r="K8" s="43"/>
      <c r="L8" s="43"/>
      <c r="M8" s="134"/>
      <c r="N8" s="134"/>
      <c r="O8" s="43"/>
      <c r="P8" s="43"/>
      <c r="Q8" s="43"/>
      <c r="R8" s="43"/>
      <c r="S8" s="43"/>
      <c r="T8" s="41"/>
      <c r="U8" s="117"/>
      <c r="V8" s="117"/>
      <c r="W8" s="118"/>
      <c r="X8" s="121"/>
      <c r="Y8" s="121"/>
      <c r="Z8" s="43"/>
      <c r="AA8" s="43"/>
      <c r="AB8" s="43"/>
      <c r="AC8" s="43"/>
      <c r="AD8" s="43"/>
      <c r="AE8" s="43"/>
      <c r="AF8" s="43"/>
      <c r="AG8" s="43"/>
      <c r="AH8" s="43"/>
    </row>
    <row r="9" spans="1:34" s="125" customFormat="1" ht="15" customHeight="1">
      <c r="A9" s="122"/>
      <c r="B9" s="123"/>
      <c r="C9" s="124"/>
      <c r="D9" s="124"/>
      <c r="E9" s="122"/>
      <c r="F9" s="122"/>
      <c r="G9" s="122"/>
      <c r="H9" s="122"/>
      <c r="I9" s="122"/>
      <c r="J9" s="122"/>
      <c r="K9" s="122"/>
      <c r="L9" s="122"/>
      <c r="M9" s="135"/>
      <c r="N9" s="135"/>
      <c r="O9" s="122"/>
      <c r="P9" s="122"/>
      <c r="Q9" s="122"/>
      <c r="R9" s="122"/>
      <c r="S9" s="122"/>
      <c r="T9" s="122"/>
      <c r="U9" s="122"/>
      <c r="V9" s="122"/>
      <c r="W9" s="124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39" customFormat="1" ht="15" customHeight="1">
      <c r="A10" s="38"/>
      <c r="B10" s="5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6"/>
      <c r="N10" s="136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s="32" customFormat="1" ht="15" customHeight="1">
      <c r="A11" s="38"/>
      <c r="B11" s="5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36"/>
      <c r="N11" s="136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s="32" customFormat="1" ht="15" customHeight="1">
      <c r="A12" s="38"/>
      <c r="B12" s="5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36"/>
      <c r="N12" s="136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ht="15" customHeight="1">
      <c r="A13" s="38"/>
      <c r="B13" s="5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6"/>
      <c r="N13" s="136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24:25" ht="15" customHeight="1">
      <c r="X14" s="12"/>
      <c r="Y14" s="12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</sheetData>
  <sheetProtection sheet="1" objects="1" scenarios="1"/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AO35"/>
  <sheetViews>
    <sheetView showGridLines="0" showZeros="0" zoomScalePageLayoutView="0" workbookViewId="0" topLeftCell="A1">
      <selection activeCell="E7" sqref="E7:G7"/>
    </sheetView>
  </sheetViews>
  <sheetFormatPr defaultColWidth="0" defaultRowHeight="12.75"/>
  <cols>
    <col min="1" max="1" width="1.28515625" style="217" customWidth="1"/>
    <col min="2" max="2" width="3.7109375" style="217" customWidth="1"/>
    <col min="3" max="3" width="8.7109375" style="218" customWidth="1"/>
    <col min="4" max="4" width="4.57421875" style="217" customWidth="1"/>
    <col min="5" max="5" width="4.421875" style="217" customWidth="1"/>
    <col min="6" max="6" width="4.421875" style="218" customWidth="1"/>
    <col min="7" max="8" width="4.421875" style="217" customWidth="1"/>
    <col min="9" max="11" width="5.28125" style="217" customWidth="1"/>
    <col min="12" max="13" width="5.7109375" style="219" customWidth="1"/>
    <col min="14" max="14" width="5.7109375" style="217" customWidth="1"/>
    <col min="15" max="15" width="6.28125" style="217" customWidth="1"/>
    <col min="16" max="16" width="5.7109375" style="217" customWidth="1"/>
    <col min="17" max="17" width="6.57421875" style="217" customWidth="1"/>
    <col min="18" max="18" width="3.7109375" style="217" customWidth="1"/>
    <col min="19" max="19" width="7.57421875" style="217" customWidth="1"/>
    <col min="20" max="20" width="7.00390625" style="217" customWidth="1"/>
    <col min="21" max="21" width="8.421875" style="220" customWidth="1"/>
    <col min="22" max="22" width="6.00390625" style="221" customWidth="1"/>
    <col min="23" max="23" width="6.7109375" style="221" customWidth="1"/>
    <col min="24" max="24" width="8.57421875" style="221" customWidth="1"/>
    <col min="25" max="25" width="2.7109375" style="221" customWidth="1"/>
    <col min="26" max="26" width="2.7109375" style="222" customWidth="1"/>
    <col min="27" max="38" width="10.7109375" style="217" hidden="1" customWidth="1"/>
    <col min="39" max="41" width="10.7109375" style="223" hidden="1" customWidth="1"/>
    <col min="42" max="51" width="10.7109375" style="217" hidden="1" customWidth="1"/>
    <col min="52" max="52" width="1.7109375" style="217" hidden="1" customWidth="1"/>
    <col min="53" max="78" width="10.7109375" style="217" hidden="1" customWidth="1"/>
    <col min="79" max="16384" width="11.421875" style="217" hidden="1" customWidth="1"/>
  </cols>
  <sheetData>
    <row r="1" spans="1:27" ht="15.75" customHeight="1">
      <c r="A1" s="263"/>
      <c r="AA1" s="217">
        <v>1</v>
      </c>
    </row>
    <row r="2" spans="2:41" ht="19.5" customHeight="1">
      <c r="B2" s="442" t="s">
        <v>121</v>
      </c>
      <c r="C2" s="442"/>
      <c r="D2" s="442"/>
      <c r="E2" s="447" t="str">
        <f>Titel!D7</f>
        <v>NÖ-Landesimkerschule</v>
      </c>
      <c r="F2" s="447"/>
      <c r="G2" s="447"/>
      <c r="H2" s="447"/>
      <c r="I2" s="447"/>
      <c r="J2" s="447"/>
      <c r="K2" s="446" t="s">
        <v>122</v>
      </c>
      <c r="L2" s="446"/>
      <c r="M2" s="446"/>
      <c r="N2" s="446"/>
      <c r="O2" s="446"/>
      <c r="P2" s="446"/>
      <c r="Q2" s="446"/>
      <c r="R2" s="224">
        <f>IF(S2=0,"","ab:")</f>
      </c>
      <c r="S2" s="484">
        <f>Titel!D11</f>
        <v>0</v>
      </c>
      <c r="T2" s="484"/>
      <c r="U2" s="224">
        <f>IF(V2=0,"","Stand:")</f>
      </c>
      <c r="V2" s="225">
        <f>Titel!F11</f>
        <v>0</v>
      </c>
      <c r="W2" s="225"/>
      <c r="X2" s="225"/>
      <c r="Y2" s="225"/>
      <c r="Z2" s="217"/>
      <c r="AA2" s="217">
        <f>1+AA1</f>
        <v>2</v>
      </c>
      <c r="AL2" s="223"/>
      <c r="AO2" s="217"/>
    </row>
    <row r="3" spans="2:41" ht="19.5" customHeight="1">
      <c r="B3" s="445" t="s">
        <v>123</v>
      </c>
      <c r="C3" s="445"/>
      <c r="D3" s="445"/>
      <c r="E3" s="225" t="str">
        <f>Titel!D8</f>
        <v>Aichhof 1, 2831 Warth</v>
      </c>
      <c r="F3" s="225"/>
      <c r="G3" s="225"/>
      <c r="H3" s="225"/>
      <c r="I3" s="225"/>
      <c r="J3" s="225"/>
      <c r="L3" s="224"/>
      <c r="M3" s="224"/>
      <c r="N3" s="224" t="s">
        <v>124</v>
      </c>
      <c r="O3" s="225" t="str">
        <f>Titel!F10</f>
        <v>Höllental</v>
      </c>
      <c r="P3" s="226"/>
      <c r="Q3" s="226"/>
      <c r="R3" s="224">
        <f>IF(S3=0,"","ab:")</f>
      </c>
      <c r="S3" s="484">
        <f>Titel!D12</f>
        <v>0</v>
      </c>
      <c r="T3" s="484"/>
      <c r="U3" s="224">
        <f>IF(V3=0,"","Stand:")</f>
      </c>
      <c r="V3" s="225">
        <f>Titel!F12</f>
        <v>0</v>
      </c>
      <c r="W3" s="225"/>
      <c r="X3" s="225"/>
      <c r="Y3" s="225"/>
      <c r="Z3" s="217"/>
      <c r="AL3" s="223"/>
      <c r="AO3" s="217"/>
    </row>
    <row r="4" spans="2:41" ht="19.5" customHeight="1">
      <c r="B4" s="442" t="s">
        <v>11</v>
      </c>
      <c r="C4" s="442"/>
      <c r="D4" s="442"/>
      <c r="E4" s="447">
        <f>Titel!D9</f>
        <v>123456789</v>
      </c>
      <c r="F4" s="447"/>
      <c r="G4" s="447"/>
      <c r="H4" s="447"/>
      <c r="I4" s="447"/>
      <c r="J4" s="447"/>
      <c r="K4" s="225"/>
      <c r="L4" s="227"/>
      <c r="M4" s="227"/>
      <c r="N4" s="228" t="str">
        <f>Titel!C10</f>
        <v>Jahr:</v>
      </c>
      <c r="O4" s="228">
        <f>Titel!D10</f>
        <v>2011</v>
      </c>
      <c r="R4" s="224">
        <f>IF(S4=0,"","ab:")</f>
      </c>
      <c r="S4" s="484">
        <f>Titel!D13</f>
        <v>0</v>
      </c>
      <c r="T4" s="484"/>
      <c r="U4" s="224">
        <f>IF(V4=0,"","Stand:")</f>
      </c>
      <c r="V4" s="225">
        <f>Titel!F13</f>
        <v>0</v>
      </c>
      <c r="W4" s="225"/>
      <c r="X4" s="225"/>
      <c r="Y4" s="225"/>
      <c r="Z4" s="217"/>
      <c r="AL4" s="223"/>
      <c r="AO4" s="217"/>
    </row>
    <row r="5" spans="3:41" ht="12" thickBot="1">
      <c r="C5" s="229"/>
      <c r="F5" s="223"/>
      <c r="G5" s="223"/>
      <c r="H5" s="223"/>
      <c r="I5" s="229"/>
      <c r="J5" s="230"/>
      <c r="K5" s="230"/>
      <c r="L5" s="226"/>
      <c r="T5" s="220"/>
      <c r="U5" s="221"/>
      <c r="X5" s="222"/>
      <c r="Y5" s="222"/>
      <c r="Z5" s="217"/>
      <c r="AL5" s="223"/>
      <c r="AO5" s="217"/>
    </row>
    <row r="6" spans="2:40" s="231" customFormat="1" ht="13.5" customHeight="1">
      <c r="B6" s="443" t="s">
        <v>125</v>
      </c>
      <c r="C6" s="444"/>
      <c r="D6" s="444"/>
      <c r="E6" s="474" t="str">
        <f ca="1">MID(CELL("dateiname",A2),FIND("]",CELL("dateiname",A2))+1,100)</f>
        <v>1</v>
      </c>
      <c r="F6" s="474"/>
      <c r="G6" s="475"/>
      <c r="H6" s="232"/>
      <c r="I6" s="233" t="s">
        <v>70</v>
      </c>
      <c r="J6" s="234"/>
      <c r="K6" s="234"/>
      <c r="L6" s="234"/>
      <c r="M6" s="235"/>
      <c r="N6" s="236" t="s">
        <v>71</v>
      </c>
      <c r="O6" s="234"/>
      <c r="P6" s="234"/>
      <c r="Q6" s="237"/>
      <c r="S6" s="238"/>
      <c r="T6" s="239"/>
      <c r="U6" s="240">
        <v>4</v>
      </c>
      <c r="V6" s="240">
        <v>3</v>
      </c>
      <c r="W6" s="240">
        <v>2</v>
      </c>
      <c r="X6" s="241">
        <v>1</v>
      </c>
      <c r="Y6" s="242"/>
      <c r="AL6" s="243"/>
      <c r="AM6" s="243"/>
      <c r="AN6" s="243"/>
    </row>
    <row r="7" spans="2:40" s="231" customFormat="1" ht="13.5" customHeight="1">
      <c r="B7" s="440" t="s">
        <v>126</v>
      </c>
      <c r="C7" s="441"/>
      <c r="D7" s="441"/>
      <c r="E7" s="426"/>
      <c r="F7" s="426"/>
      <c r="G7" s="427"/>
      <c r="H7" s="244"/>
      <c r="I7" s="425" t="s">
        <v>126</v>
      </c>
      <c r="J7" s="424"/>
      <c r="K7" s="424"/>
      <c r="L7" s="450"/>
      <c r="M7" s="451"/>
      <c r="N7" s="423" t="s">
        <v>126</v>
      </c>
      <c r="O7" s="424"/>
      <c r="P7" s="426"/>
      <c r="Q7" s="427"/>
      <c r="S7" s="245" t="s">
        <v>127</v>
      </c>
      <c r="T7" s="246" t="s">
        <v>128</v>
      </c>
      <c r="U7" s="247" t="s">
        <v>129</v>
      </c>
      <c r="V7" s="247" t="s">
        <v>130</v>
      </c>
      <c r="W7" s="247" t="s">
        <v>131</v>
      </c>
      <c r="X7" s="248" t="s">
        <v>132</v>
      </c>
      <c r="Y7" s="249"/>
      <c r="AL7" s="243"/>
      <c r="AM7" s="243"/>
      <c r="AN7" s="243"/>
    </row>
    <row r="8" spans="2:40" s="231" customFormat="1" ht="13.5" customHeight="1">
      <c r="B8" s="440" t="s">
        <v>133</v>
      </c>
      <c r="C8" s="441"/>
      <c r="D8" s="441"/>
      <c r="E8" s="426"/>
      <c r="F8" s="426"/>
      <c r="G8" s="427"/>
      <c r="H8" s="244"/>
      <c r="I8" s="428" t="s">
        <v>134</v>
      </c>
      <c r="J8" s="422"/>
      <c r="K8" s="422"/>
      <c r="L8" s="450"/>
      <c r="M8" s="451"/>
      <c r="N8" s="421" t="s">
        <v>135</v>
      </c>
      <c r="O8" s="422"/>
      <c r="P8" s="426"/>
      <c r="Q8" s="427"/>
      <c r="S8" s="245" t="s">
        <v>136</v>
      </c>
      <c r="T8" s="246" t="s">
        <v>137</v>
      </c>
      <c r="U8" s="247" t="s">
        <v>138</v>
      </c>
      <c r="V8" s="247" t="s">
        <v>139</v>
      </c>
      <c r="W8" s="247" t="s">
        <v>140</v>
      </c>
      <c r="X8" s="248" t="s">
        <v>141</v>
      </c>
      <c r="Y8" s="249"/>
      <c r="AL8" s="243"/>
      <c r="AM8" s="243"/>
      <c r="AN8" s="243"/>
    </row>
    <row r="9" spans="2:40" s="231" customFormat="1" ht="13.5" customHeight="1">
      <c r="B9" s="440" t="s">
        <v>142</v>
      </c>
      <c r="C9" s="441"/>
      <c r="D9" s="441"/>
      <c r="E9" s="426"/>
      <c r="F9" s="426"/>
      <c r="G9" s="427"/>
      <c r="H9" s="244"/>
      <c r="I9" s="425" t="s">
        <v>142</v>
      </c>
      <c r="J9" s="424"/>
      <c r="K9" s="424"/>
      <c r="L9" s="450"/>
      <c r="M9" s="451"/>
      <c r="N9" s="423" t="s">
        <v>142</v>
      </c>
      <c r="O9" s="424"/>
      <c r="P9" s="426"/>
      <c r="Q9" s="427"/>
      <c r="S9" s="489" t="s">
        <v>143</v>
      </c>
      <c r="T9" s="480" t="s">
        <v>144</v>
      </c>
      <c r="U9" s="438" t="s">
        <v>145</v>
      </c>
      <c r="V9" s="485" t="s">
        <v>146</v>
      </c>
      <c r="W9" s="485" t="s">
        <v>147</v>
      </c>
      <c r="X9" s="487" t="s">
        <v>148</v>
      </c>
      <c r="Y9" s="250"/>
      <c r="AL9" s="243"/>
      <c r="AM9" s="243"/>
      <c r="AN9" s="243"/>
    </row>
    <row r="10" spans="2:40" s="231" customFormat="1" ht="13.5" customHeight="1" thickBot="1">
      <c r="B10" s="464" t="s">
        <v>149</v>
      </c>
      <c r="C10" s="465"/>
      <c r="D10" s="465"/>
      <c r="E10" s="436"/>
      <c r="F10" s="436"/>
      <c r="G10" s="437"/>
      <c r="H10" s="244"/>
      <c r="I10" s="472"/>
      <c r="J10" s="473"/>
      <c r="K10" s="473"/>
      <c r="L10" s="452"/>
      <c r="M10" s="453"/>
      <c r="N10" s="448" t="s">
        <v>150</v>
      </c>
      <c r="O10" s="449"/>
      <c r="P10" s="436"/>
      <c r="Q10" s="437"/>
      <c r="S10" s="490"/>
      <c r="T10" s="481"/>
      <c r="U10" s="439"/>
      <c r="V10" s="486"/>
      <c r="W10" s="486"/>
      <c r="X10" s="488"/>
      <c r="Y10" s="249"/>
      <c r="AL10" s="243"/>
      <c r="AM10" s="243"/>
      <c r="AN10" s="243"/>
    </row>
    <row r="11" spans="3:40" s="231" customFormat="1" ht="20.25" customHeight="1" thickBot="1">
      <c r="C11" s="251"/>
      <c r="F11" s="252"/>
      <c r="G11" s="252"/>
      <c r="H11" s="252"/>
      <c r="I11" s="252"/>
      <c r="J11" s="252"/>
      <c r="K11" s="252"/>
      <c r="L11" s="252"/>
      <c r="M11" s="253"/>
      <c r="O11" s="243"/>
      <c r="Q11" s="254"/>
      <c r="R11" s="255"/>
      <c r="S11" s="255"/>
      <c r="T11" s="256"/>
      <c r="U11" s="257"/>
      <c r="V11" s="257"/>
      <c r="W11" s="257"/>
      <c r="X11" s="258"/>
      <c r="Y11" s="258"/>
      <c r="AE11" s="259"/>
      <c r="AF11" s="259"/>
      <c r="AG11" s="259"/>
      <c r="AH11" s="259"/>
      <c r="AL11" s="243"/>
      <c r="AM11" s="243"/>
      <c r="AN11" s="243"/>
    </row>
    <row r="12" spans="1:41" s="225" customFormat="1" ht="16.5" customHeight="1">
      <c r="A12" s="225" t="s">
        <v>67</v>
      </c>
      <c r="B12" s="454" t="s">
        <v>102</v>
      </c>
      <c r="C12" s="457" t="s">
        <v>32</v>
      </c>
      <c r="D12" s="260" t="s">
        <v>151</v>
      </c>
      <c r="E12" s="260"/>
      <c r="F12" s="260"/>
      <c r="G12" s="260"/>
      <c r="H12" s="260"/>
      <c r="I12" s="260"/>
      <c r="J12" s="260"/>
      <c r="K12" s="260"/>
      <c r="L12" s="261" t="s">
        <v>202</v>
      </c>
      <c r="M12" s="260"/>
      <c r="N12" s="260"/>
      <c r="O12" s="260"/>
      <c r="P12" s="260"/>
      <c r="Q12" s="260"/>
      <c r="R12" s="491" t="s">
        <v>152</v>
      </c>
      <c r="S12" s="492"/>
      <c r="T12" s="492"/>
      <c r="U12" s="492"/>
      <c r="V12" s="492"/>
      <c r="W12" s="492"/>
      <c r="X12" s="493"/>
      <c r="Y12" s="258"/>
      <c r="AA12" s="262"/>
      <c r="AB12" s="262"/>
      <c r="AC12" s="262"/>
      <c r="AD12" s="262"/>
      <c r="AE12" s="263"/>
      <c r="AF12" s="263"/>
      <c r="AG12" s="263"/>
      <c r="AH12" s="263"/>
      <c r="AM12" s="223"/>
      <c r="AN12" s="223"/>
      <c r="AO12" s="223"/>
    </row>
    <row r="13" spans="1:40" s="225" customFormat="1" ht="12.75" customHeight="1">
      <c r="A13" s="225" t="s">
        <v>67</v>
      </c>
      <c r="B13" s="455"/>
      <c r="C13" s="458"/>
      <c r="D13" s="460" t="s">
        <v>153</v>
      </c>
      <c r="E13" s="264" t="s">
        <v>154</v>
      </c>
      <c r="F13" s="265"/>
      <c r="G13" s="265"/>
      <c r="H13" s="265"/>
      <c r="I13" s="462" t="s">
        <v>110</v>
      </c>
      <c r="J13" s="468" t="s">
        <v>111</v>
      </c>
      <c r="K13" s="470" t="s">
        <v>112</v>
      </c>
      <c r="L13" s="460" t="s">
        <v>155</v>
      </c>
      <c r="M13" s="429" t="s">
        <v>156</v>
      </c>
      <c r="N13" s="478" t="s">
        <v>157</v>
      </c>
      <c r="O13" s="434" t="s">
        <v>158</v>
      </c>
      <c r="P13" s="434" t="s">
        <v>159</v>
      </c>
      <c r="Q13" s="466" t="s">
        <v>160</v>
      </c>
      <c r="R13" s="494"/>
      <c r="S13" s="495"/>
      <c r="T13" s="495"/>
      <c r="U13" s="495"/>
      <c r="V13" s="495"/>
      <c r="W13" s="495"/>
      <c r="X13" s="496"/>
      <c r="Y13" s="258"/>
      <c r="AA13" s="223">
        <v>1</v>
      </c>
      <c r="AB13" s="223">
        <v>2</v>
      </c>
      <c r="AC13" s="223">
        <v>3</v>
      </c>
      <c r="AD13" s="223">
        <v>4</v>
      </c>
      <c r="AE13" s="223">
        <v>5</v>
      </c>
      <c r="AF13" s="223">
        <v>6</v>
      </c>
      <c r="AG13" s="223">
        <v>7</v>
      </c>
      <c r="AH13" s="223">
        <v>8</v>
      </c>
      <c r="AI13" s="223">
        <v>9</v>
      </c>
      <c r="AJ13" s="223">
        <v>10</v>
      </c>
      <c r="AK13" s="223">
        <v>11</v>
      </c>
      <c r="AL13" s="223">
        <v>12</v>
      </c>
      <c r="AM13" s="223">
        <v>13</v>
      </c>
      <c r="AN13" s="223">
        <v>14</v>
      </c>
    </row>
    <row r="14" spans="1:40" s="225" customFormat="1" ht="16.5" customHeight="1" thickBot="1">
      <c r="A14" s="225" t="s">
        <v>67</v>
      </c>
      <c r="B14" s="456"/>
      <c r="C14" s="459"/>
      <c r="D14" s="461"/>
      <c r="E14" s="266" t="s">
        <v>155</v>
      </c>
      <c r="F14" s="267" t="s">
        <v>161</v>
      </c>
      <c r="G14" s="268" t="s">
        <v>162</v>
      </c>
      <c r="H14" s="269" t="s">
        <v>163</v>
      </c>
      <c r="I14" s="463"/>
      <c r="J14" s="469"/>
      <c r="K14" s="471"/>
      <c r="L14" s="461"/>
      <c r="M14" s="430"/>
      <c r="N14" s="479"/>
      <c r="O14" s="435"/>
      <c r="P14" s="435"/>
      <c r="Q14" s="467"/>
      <c r="R14" s="497"/>
      <c r="S14" s="498"/>
      <c r="T14" s="498"/>
      <c r="U14" s="498"/>
      <c r="V14" s="498"/>
      <c r="W14" s="498"/>
      <c r="X14" s="499"/>
      <c r="Y14" s="258"/>
      <c r="AA14" s="225" t="s">
        <v>164</v>
      </c>
      <c r="AB14" s="225" t="s">
        <v>75</v>
      </c>
      <c r="AC14" s="225" t="s">
        <v>165</v>
      </c>
      <c r="AD14" s="225" t="s">
        <v>77</v>
      </c>
      <c r="AE14" s="225" t="s">
        <v>166</v>
      </c>
      <c r="AF14" s="225" t="s">
        <v>167</v>
      </c>
      <c r="AG14" s="225" t="s">
        <v>168</v>
      </c>
      <c r="AH14" s="225" t="s">
        <v>169</v>
      </c>
      <c r="AI14" s="225" t="s">
        <v>170</v>
      </c>
      <c r="AJ14" s="225" t="s">
        <v>171</v>
      </c>
      <c r="AK14" s="225" t="s">
        <v>172</v>
      </c>
      <c r="AL14" s="223" t="s">
        <v>110</v>
      </c>
      <c r="AM14" s="223" t="s">
        <v>111</v>
      </c>
      <c r="AN14" s="223" t="s">
        <v>112</v>
      </c>
    </row>
    <row r="15" spans="2:40" s="231" customFormat="1" ht="18" customHeight="1">
      <c r="B15" s="270">
        <f>IF(C15&gt;0,1,0)</f>
        <v>0</v>
      </c>
      <c r="C15" s="271"/>
      <c r="D15" s="272"/>
      <c r="E15" s="273"/>
      <c r="F15" s="273"/>
      <c r="G15" s="273"/>
      <c r="H15" s="274"/>
      <c r="I15" s="275"/>
      <c r="J15" s="276"/>
      <c r="K15" s="277"/>
      <c r="L15" s="278"/>
      <c r="M15" s="279"/>
      <c r="N15" s="279"/>
      <c r="O15" s="280"/>
      <c r="P15" s="360"/>
      <c r="Q15" s="281"/>
      <c r="R15" s="500"/>
      <c r="S15" s="501"/>
      <c r="T15" s="501"/>
      <c r="U15" s="501"/>
      <c r="V15" s="501"/>
      <c r="W15" s="501"/>
      <c r="X15" s="502"/>
      <c r="Y15" s="258"/>
      <c r="AA15" s="127" t="str">
        <f>1!$E$6</f>
        <v>1</v>
      </c>
      <c r="AB15" s="126">
        <f>1!$E$7</f>
        <v>0</v>
      </c>
      <c r="AC15" s="126">
        <f>1!$E$8</f>
        <v>0</v>
      </c>
      <c r="AD15" s="126">
        <f>1!$E$9</f>
        <v>0</v>
      </c>
      <c r="AE15" s="126">
        <f>1!$L$7</f>
        <v>0</v>
      </c>
      <c r="AF15" s="126">
        <f>1!$L$8</f>
        <v>0</v>
      </c>
      <c r="AG15" s="126">
        <f>1!$L$9</f>
        <v>0</v>
      </c>
      <c r="AH15" s="126">
        <f>1!$P$7</f>
        <v>0</v>
      </c>
      <c r="AI15" s="126">
        <f>1!$P$8</f>
        <v>0</v>
      </c>
      <c r="AJ15" s="126">
        <f>1!$P$9</f>
        <v>0</v>
      </c>
      <c r="AK15" s="126">
        <f>1!$P$10</f>
        <v>0</v>
      </c>
      <c r="AL15" s="133">
        <f>1!$I$33</f>
        <v>0</v>
      </c>
      <c r="AM15" s="133">
        <f>1!$J$33</f>
        <v>0</v>
      </c>
      <c r="AN15" s="128">
        <f>1!$K$33</f>
        <v>0</v>
      </c>
    </row>
    <row r="16" spans="2:40" s="231" customFormat="1" ht="18" customHeight="1">
      <c r="B16" s="282">
        <f aca="true" t="shared" si="0" ref="B16:B25">IF(C16&gt;0,1+B15,0)</f>
        <v>0</v>
      </c>
      <c r="C16" s="283"/>
      <c r="D16" s="284"/>
      <c r="E16" s="285"/>
      <c r="F16" s="285"/>
      <c r="G16" s="285"/>
      <c r="H16" s="286"/>
      <c r="I16" s="287"/>
      <c r="J16" s="288"/>
      <c r="K16" s="289"/>
      <c r="L16" s="290"/>
      <c r="M16" s="291"/>
      <c r="N16" s="291"/>
      <c r="O16" s="292"/>
      <c r="P16" s="360"/>
      <c r="Q16" s="293"/>
      <c r="R16" s="431"/>
      <c r="S16" s="432"/>
      <c r="T16" s="432"/>
      <c r="U16" s="432"/>
      <c r="V16" s="432"/>
      <c r="W16" s="432"/>
      <c r="X16" s="433"/>
      <c r="Y16" s="258"/>
      <c r="AA16" s="252"/>
      <c r="AB16" s="252"/>
      <c r="AC16" s="252"/>
      <c r="AD16" s="294"/>
      <c r="AL16" s="243"/>
      <c r="AM16" s="243"/>
      <c r="AN16" s="243"/>
    </row>
    <row r="17" spans="2:40" s="231" customFormat="1" ht="18" customHeight="1">
      <c r="B17" s="282">
        <f t="shared" si="0"/>
        <v>0</v>
      </c>
      <c r="C17" s="283"/>
      <c r="D17" s="284"/>
      <c r="E17" s="285"/>
      <c r="F17" s="285"/>
      <c r="G17" s="285"/>
      <c r="H17" s="286"/>
      <c r="I17" s="287"/>
      <c r="J17" s="288"/>
      <c r="K17" s="289"/>
      <c r="L17" s="290"/>
      <c r="M17" s="291"/>
      <c r="N17" s="291"/>
      <c r="O17" s="292"/>
      <c r="P17" s="360"/>
      <c r="Q17" s="293"/>
      <c r="R17" s="431"/>
      <c r="S17" s="432"/>
      <c r="T17" s="432"/>
      <c r="U17" s="432"/>
      <c r="V17" s="432"/>
      <c r="W17" s="432"/>
      <c r="X17" s="433"/>
      <c r="Y17" s="295"/>
      <c r="AL17" s="243"/>
      <c r="AM17" s="243"/>
      <c r="AN17" s="243"/>
    </row>
    <row r="18" spans="1:40" s="263" customFormat="1" ht="18" customHeight="1">
      <c r="A18" s="217"/>
      <c r="B18" s="282">
        <f t="shared" si="0"/>
        <v>0</v>
      </c>
      <c r="C18" s="283"/>
      <c r="D18" s="284"/>
      <c r="E18" s="285"/>
      <c r="F18" s="285"/>
      <c r="G18" s="285"/>
      <c r="H18" s="286"/>
      <c r="I18" s="287"/>
      <c r="J18" s="288"/>
      <c r="K18" s="289"/>
      <c r="L18" s="290"/>
      <c r="M18" s="291"/>
      <c r="N18" s="291"/>
      <c r="O18" s="292"/>
      <c r="P18" s="360"/>
      <c r="Q18" s="293"/>
      <c r="R18" s="431"/>
      <c r="S18" s="432"/>
      <c r="T18" s="432"/>
      <c r="U18" s="432"/>
      <c r="V18" s="432"/>
      <c r="W18" s="432"/>
      <c r="X18" s="433"/>
      <c r="Y18" s="295"/>
      <c r="Z18" s="231"/>
      <c r="AL18" s="296"/>
      <c r="AM18" s="296"/>
      <c r="AN18" s="296"/>
    </row>
    <row r="19" spans="2:41" ht="18" customHeight="1">
      <c r="B19" s="282">
        <f t="shared" si="0"/>
        <v>0</v>
      </c>
      <c r="C19" s="283"/>
      <c r="D19" s="284"/>
      <c r="E19" s="285"/>
      <c r="F19" s="285"/>
      <c r="G19" s="285"/>
      <c r="H19" s="286"/>
      <c r="I19" s="287"/>
      <c r="J19" s="288"/>
      <c r="K19" s="289"/>
      <c r="L19" s="290"/>
      <c r="M19" s="291"/>
      <c r="N19" s="291"/>
      <c r="O19" s="292"/>
      <c r="P19" s="360"/>
      <c r="Q19" s="293"/>
      <c r="R19" s="431"/>
      <c r="S19" s="432"/>
      <c r="T19" s="432"/>
      <c r="U19" s="432"/>
      <c r="V19" s="432"/>
      <c r="W19" s="432"/>
      <c r="X19" s="433"/>
      <c r="Y19" s="295"/>
      <c r="Z19" s="217"/>
      <c r="AL19" s="223"/>
      <c r="AO19" s="217"/>
    </row>
    <row r="20" spans="2:41" ht="18" customHeight="1">
      <c r="B20" s="282">
        <f t="shared" si="0"/>
        <v>0</v>
      </c>
      <c r="C20" s="283"/>
      <c r="D20" s="284"/>
      <c r="E20" s="285"/>
      <c r="F20" s="285"/>
      <c r="G20" s="285"/>
      <c r="H20" s="286"/>
      <c r="I20" s="287"/>
      <c r="J20" s="288"/>
      <c r="K20" s="289"/>
      <c r="L20" s="290"/>
      <c r="M20" s="291"/>
      <c r="N20" s="291"/>
      <c r="O20" s="292"/>
      <c r="P20" s="360"/>
      <c r="Q20" s="293"/>
      <c r="R20" s="431"/>
      <c r="S20" s="432"/>
      <c r="T20" s="432"/>
      <c r="U20" s="432"/>
      <c r="V20" s="432"/>
      <c r="W20" s="432"/>
      <c r="X20" s="433"/>
      <c r="Y20" s="295"/>
      <c r="Z20" s="217"/>
      <c r="AL20" s="223"/>
      <c r="AO20" s="217"/>
    </row>
    <row r="21" spans="2:41" ht="18" customHeight="1">
      <c r="B21" s="282">
        <f t="shared" si="0"/>
        <v>0</v>
      </c>
      <c r="C21" s="283"/>
      <c r="D21" s="284"/>
      <c r="E21" s="285"/>
      <c r="F21" s="285"/>
      <c r="G21" s="285"/>
      <c r="H21" s="286"/>
      <c r="I21" s="287"/>
      <c r="J21" s="288"/>
      <c r="K21" s="289"/>
      <c r="L21" s="290"/>
      <c r="M21" s="291"/>
      <c r="N21" s="291"/>
      <c r="O21" s="292"/>
      <c r="P21" s="360"/>
      <c r="Q21" s="293"/>
      <c r="R21" s="431"/>
      <c r="S21" s="432"/>
      <c r="T21" s="432"/>
      <c r="U21" s="432"/>
      <c r="V21" s="432"/>
      <c r="W21" s="432"/>
      <c r="X21" s="433"/>
      <c r="Y21" s="295"/>
      <c r="Z21" s="217"/>
      <c r="AL21" s="223"/>
      <c r="AO21" s="217"/>
    </row>
    <row r="22" spans="2:41" ht="18" customHeight="1">
      <c r="B22" s="282">
        <f t="shared" si="0"/>
        <v>0</v>
      </c>
      <c r="C22" s="283"/>
      <c r="D22" s="284"/>
      <c r="E22" s="285"/>
      <c r="F22" s="285"/>
      <c r="G22" s="285"/>
      <c r="H22" s="286"/>
      <c r="I22" s="287"/>
      <c r="J22" s="288"/>
      <c r="K22" s="289"/>
      <c r="L22" s="290"/>
      <c r="M22" s="291"/>
      <c r="N22" s="291"/>
      <c r="O22" s="292"/>
      <c r="P22" s="360"/>
      <c r="Q22" s="293"/>
      <c r="R22" s="431"/>
      <c r="S22" s="432"/>
      <c r="T22" s="432"/>
      <c r="U22" s="432"/>
      <c r="V22" s="432"/>
      <c r="W22" s="432"/>
      <c r="X22" s="433"/>
      <c r="Y22" s="295"/>
      <c r="Z22" s="217"/>
      <c r="AL22" s="223"/>
      <c r="AO22" s="217"/>
    </row>
    <row r="23" spans="2:41" ht="18" customHeight="1">
      <c r="B23" s="282">
        <f t="shared" si="0"/>
        <v>0</v>
      </c>
      <c r="C23" s="283"/>
      <c r="D23" s="284"/>
      <c r="E23" s="285"/>
      <c r="F23" s="285"/>
      <c r="G23" s="285"/>
      <c r="H23" s="286"/>
      <c r="I23" s="287"/>
      <c r="J23" s="288"/>
      <c r="K23" s="289"/>
      <c r="L23" s="290"/>
      <c r="M23" s="291"/>
      <c r="N23" s="291"/>
      <c r="O23" s="292"/>
      <c r="P23" s="360"/>
      <c r="Q23" s="293"/>
      <c r="R23" s="431"/>
      <c r="S23" s="432"/>
      <c r="T23" s="432"/>
      <c r="U23" s="432"/>
      <c r="V23" s="432"/>
      <c r="W23" s="432"/>
      <c r="X23" s="433"/>
      <c r="Y23" s="295"/>
      <c r="Z23" s="217"/>
      <c r="AL23" s="223"/>
      <c r="AO23" s="217"/>
    </row>
    <row r="24" spans="2:41" ht="18" customHeight="1">
      <c r="B24" s="282">
        <f t="shared" si="0"/>
        <v>0</v>
      </c>
      <c r="C24" s="355"/>
      <c r="D24" s="290"/>
      <c r="E24" s="291"/>
      <c r="F24" s="291"/>
      <c r="G24" s="291"/>
      <c r="H24" s="292"/>
      <c r="I24" s="287"/>
      <c r="J24" s="288"/>
      <c r="K24" s="289"/>
      <c r="L24" s="290"/>
      <c r="M24" s="291"/>
      <c r="N24" s="291"/>
      <c r="O24" s="292"/>
      <c r="P24" s="360"/>
      <c r="Q24" s="293"/>
      <c r="R24" s="431"/>
      <c r="S24" s="432"/>
      <c r="T24" s="432"/>
      <c r="U24" s="432"/>
      <c r="V24" s="432"/>
      <c r="W24" s="432"/>
      <c r="X24" s="433"/>
      <c r="Y24" s="295"/>
      <c r="Z24" s="217"/>
      <c r="AL24" s="223"/>
      <c r="AO24" s="217"/>
    </row>
    <row r="25" spans="1:41" ht="0.75" customHeight="1">
      <c r="A25" s="217" t="s">
        <v>67</v>
      </c>
      <c r="B25" s="282">
        <f t="shared" si="0"/>
        <v>0</v>
      </c>
      <c r="C25" s="355"/>
      <c r="D25" s="290"/>
      <c r="E25" s="291"/>
      <c r="F25" s="291"/>
      <c r="G25" s="291"/>
      <c r="H25" s="292"/>
      <c r="I25" s="287"/>
      <c r="J25" s="288"/>
      <c r="K25" s="289"/>
      <c r="L25" s="290"/>
      <c r="M25" s="291"/>
      <c r="N25" s="291"/>
      <c r="O25" s="291"/>
      <c r="P25" s="360"/>
      <c r="Q25" s="356"/>
      <c r="R25" s="431"/>
      <c r="S25" s="432"/>
      <c r="T25" s="432"/>
      <c r="U25" s="432"/>
      <c r="V25" s="432"/>
      <c r="W25" s="432"/>
      <c r="X25" s="433"/>
      <c r="Y25" s="295"/>
      <c r="Z25" s="217"/>
      <c r="AL25" s="223"/>
      <c r="AO25" s="217"/>
    </row>
    <row r="26" spans="2:41" ht="19.5" customHeight="1" hidden="1" thickBot="1">
      <c r="B26" s="357"/>
      <c r="C26" s="346"/>
      <c r="D26" s="350"/>
      <c r="E26" s="351"/>
      <c r="F26" s="351"/>
      <c r="G26" s="351"/>
      <c r="H26" s="351"/>
      <c r="I26" s="347"/>
      <c r="J26" s="348"/>
      <c r="K26" s="349"/>
      <c r="L26" s="350"/>
      <c r="M26" s="351"/>
      <c r="N26" s="352"/>
      <c r="O26" s="358"/>
      <c r="P26" s="345"/>
      <c r="Q26" s="359"/>
      <c r="R26" s="353"/>
      <c r="S26" s="295"/>
      <c r="T26" s="295"/>
      <c r="U26" s="295"/>
      <c r="V26" s="295"/>
      <c r="W26" s="295"/>
      <c r="X26" s="354"/>
      <c r="Y26" s="295"/>
      <c r="Z26" s="217"/>
      <c r="AL26" s="223"/>
      <c r="AO26" s="217"/>
    </row>
    <row r="27" spans="2:41" ht="18" customHeight="1">
      <c r="B27" s="298">
        <f>IF(C27&gt;0,1,0)</f>
        <v>0</v>
      </c>
      <c r="C27" s="364">
        <f>'Schleuderl.'!N7</f>
        <v>0</v>
      </c>
      <c r="D27" s="299">
        <f>IF(C27=0,0,"1. Schleuderung")</f>
        <v>0</v>
      </c>
      <c r="E27" s="300"/>
      <c r="F27" s="300"/>
      <c r="G27" s="300"/>
      <c r="H27" s="301"/>
      <c r="I27" s="302"/>
      <c r="J27" s="303"/>
      <c r="K27" s="304"/>
      <c r="L27" s="299">
        <f>'Schleuderl.'!N9</f>
        <v>0</v>
      </c>
      <c r="M27" s="300"/>
      <c r="N27" s="305"/>
      <c r="O27" s="365"/>
      <c r="P27" s="306">
        <f>LOOKUP(AA$1,Nummer,Netto_1)</f>
        <v>11.05</v>
      </c>
      <c r="Q27" s="307"/>
      <c r="R27" s="366"/>
      <c r="S27" s="308">
        <f>LOOKUP(AA$1,Nummer,proz1)</f>
        <v>0.9999999990950226</v>
      </c>
      <c r="T27" s="309" t="str">
        <f aca="true" t="shared" si="1" ref="T27:T33">IF(P27&lt;0.01,""," 100 % =")</f>
        <v> 100 % =</v>
      </c>
      <c r="U27" s="476" t="str">
        <f aca="true" t="shared" si="2" ref="U27:U33">IF(P27&lt;0.01,"","ø Honigernte")</f>
        <v>ø Honigernte</v>
      </c>
      <c r="V27" s="476"/>
      <c r="W27" s="476"/>
      <c r="X27" s="477"/>
      <c r="Y27" s="297"/>
      <c r="Z27" s="217"/>
      <c r="AL27" s="223"/>
      <c r="AO27" s="217"/>
    </row>
    <row r="28" spans="2:41" ht="18" customHeight="1">
      <c r="B28" s="298">
        <f>IF(C28&gt;0,B27+1,0)</f>
        <v>0</v>
      </c>
      <c r="C28" s="364">
        <f>'Schleuderl.'!S7</f>
        <v>0</v>
      </c>
      <c r="D28" s="299">
        <f>IF(C28=0,0,"2. Schleuderung")</f>
        <v>0</v>
      </c>
      <c r="E28" s="300"/>
      <c r="F28" s="300"/>
      <c r="G28" s="300"/>
      <c r="H28" s="301"/>
      <c r="I28" s="302"/>
      <c r="J28" s="303"/>
      <c r="K28" s="304"/>
      <c r="L28" s="299">
        <f>'Schleuderl.'!S9</f>
        <v>0</v>
      </c>
      <c r="M28" s="300"/>
      <c r="N28" s="305"/>
      <c r="O28" s="303"/>
      <c r="P28" s="306">
        <f>LOOKUP(AA$1,Nummer,Netto_2)</f>
        <v>10.620000000000001</v>
      </c>
      <c r="Q28" s="307"/>
      <c r="R28" s="366"/>
      <c r="S28" s="308">
        <f>LOOKUP(AA$1,Nummer,proz2)</f>
        <v>0.9999999990583803</v>
      </c>
      <c r="T28" s="309" t="str">
        <f t="shared" si="1"/>
        <v> 100 % =</v>
      </c>
      <c r="U28" s="476" t="str">
        <f t="shared" si="2"/>
        <v>ø Honigernte</v>
      </c>
      <c r="V28" s="476"/>
      <c r="W28" s="476"/>
      <c r="X28" s="477"/>
      <c r="Y28" s="297"/>
      <c r="Z28" s="217"/>
      <c r="AL28" s="223"/>
      <c r="AO28" s="217"/>
    </row>
    <row r="29" spans="2:41" ht="18" customHeight="1">
      <c r="B29" s="298">
        <f>IF(C29&gt;0,B28+1,0)</f>
        <v>0</v>
      </c>
      <c r="C29" s="364">
        <f>'Schleuderl.'!X7</f>
        <v>0</v>
      </c>
      <c r="D29" s="299">
        <f>IF(C29=0,0,"3. Schleuderung")</f>
        <v>0</v>
      </c>
      <c r="E29" s="300"/>
      <c r="F29" s="300"/>
      <c r="G29" s="300"/>
      <c r="H29" s="301"/>
      <c r="I29" s="302"/>
      <c r="J29" s="303"/>
      <c r="K29" s="304"/>
      <c r="L29" s="299">
        <f>'Schleuderl.'!X9</f>
        <v>0</v>
      </c>
      <c r="M29" s="300"/>
      <c r="N29" s="305"/>
      <c r="O29" s="303"/>
      <c r="P29" s="306">
        <f>LOOKUP(AA$1,Nummer,Netto_3)</f>
        <v>9.2</v>
      </c>
      <c r="Q29" s="307"/>
      <c r="R29" s="366"/>
      <c r="S29" s="308">
        <f>LOOKUP(AA$1,Nummer,proz3)</f>
        <v>0.9999999989130434</v>
      </c>
      <c r="T29" s="309" t="str">
        <f t="shared" si="1"/>
        <v> 100 % =</v>
      </c>
      <c r="U29" s="476" t="str">
        <f t="shared" si="2"/>
        <v>ø Honigernte</v>
      </c>
      <c r="V29" s="476"/>
      <c r="W29" s="476"/>
      <c r="X29" s="477"/>
      <c r="Y29" s="297"/>
      <c r="Z29" s="217"/>
      <c r="AL29" s="223"/>
      <c r="AO29" s="217"/>
    </row>
    <row r="30" spans="2:41" ht="18" customHeight="1">
      <c r="B30" s="362"/>
      <c r="C30" s="364">
        <f>'Schleuderl.'!X8</f>
        <v>0</v>
      </c>
      <c r="D30" s="299">
        <f>IF(C30=0,0,"3. Schleuderung")</f>
        <v>0</v>
      </c>
      <c r="E30" s="300"/>
      <c r="F30" s="300"/>
      <c r="G30" s="300"/>
      <c r="H30" s="301"/>
      <c r="I30" s="302"/>
      <c r="J30" s="303"/>
      <c r="K30" s="304"/>
      <c r="L30" s="299">
        <f>'Schleuderl.'!AC9</f>
        <v>0</v>
      </c>
      <c r="M30" s="300"/>
      <c r="N30" s="305"/>
      <c r="O30" s="303"/>
      <c r="P30" s="306">
        <f>LOOKUP(AA$1,Nummer,Netto_4)</f>
        <v>12.2</v>
      </c>
      <c r="Q30" s="307"/>
      <c r="R30" s="366"/>
      <c r="S30" s="308">
        <f>LOOKUP(AA$1,Nummer,proz4)</f>
        <v>0.9999999991803278</v>
      </c>
      <c r="T30" s="309" t="str">
        <f t="shared" si="1"/>
        <v> 100 % =</v>
      </c>
      <c r="U30" s="476" t="str">
        <f t="shared" si="2"/>
        <v>ø Honigernte</v>
      </c>
      <c r="V30" s="476"/>
      <c r="W30" s="476"/>
      <c r="X30" s="477"/>
      <c r="Y30" s="297"/>
      <c r="Z30" s="217"/>
      <c r="AL30" s="223"/>
      <c r="AO30" s="217"/>
    </row>
    <row r="31" spans="2:41" ht="18" customHeight="1">
      <c r="B31" s="362"/>
      <c r="C31" s="364">
        <f>'Schleuderl.'!X9</f>
        <v>0</v>
      </c>
      <c r="D31" s="299">
        <f>IF(C31=0,0,"3. Schleuderung")</f>
        <v>0</v>
      </c>
      <c r="E31" s="300"/>
      <c r="F31" s="300"/>
      <c r="G31" s="300"/>
      <c r="H31" s="301"/>
      <c r="I31" s="302"/>
      <c r="J31" s="303"/>
      <c r="K31" s="304"/>
      <c r="L31" s="299">
        <f>'Schleuderl.'!AH9</f>
        <v>0</v>
      </c>
      <c r="M31" s="300"/>
      <c r="N31" s="305"/>
      <c r="O31" s="303"/>
      <c r="P31" s="306">
        <f>LOOKUP(AA$1,Nummer,Netto_5)</f>
        <v>9.2</v>
      </c>
      <c r="Q31" s="307"/>
      <c r="R31" s="366"/>
      <c r="S31" s="308">
        <f>LOOKUP(AA$1,Nummer,proz5)</f>
        <v>0.9999999989130434</v>
      </c>
      <c r="T31" s="309" t="str">
        <f t="shared" si="1"/>
        <v> 100 % =</v>
      </c>
      <c r="U31" s="476" t="str">
        <f t="shared" si="2"/>
        <v>ø Honigernte</v>
      </c>
      <c r="V31" s="476"/>
      <c r="W31" s="476"/>
      <c r="X31" s="477"/>
      <c r="Y31" s="297"/>
      <c r="Z31" s="217"/>
      <c r="AL31" s="223"/>
      <c r="AO31" s="217"/>
    </row>
    <row r="32" spans="2:41" ht="18" customHeight="1" thickBot="1">
      <c r="B32" s="362">
        <f>IF(C32&gt;0,B29+1,0)</f>
        <v>0</v>
      </c>
      <c r="C32" s="363">
        <f>'Schleuderl.'!AC7</f>
        <v>0</v>
      </c>
      <c r="D32" s="367">
        <f>IF(C32=0,0,"4. Schleuderung")</f>
        <v>0</v>
      </c>
      <c r="E32" s="327"/>
      <c r="F32" s="327"/>
      <c r="G32" s="327"/>
      <c r="H32" s="328"/>
      <c r="I32" s="368"/>
      <c r="J32" s="369"/>
      <c r="K32" s="370"/>
      <c r="L32" s="367">
        <f>'Schleuderl.'!AM9</f>
        <v>0</v>
      </c>
      <c r="M32" s="327"/>
      <c r="N32" s="371"/>
      <c r="O32" s="369"/>
      <c r="P32" s="372">
        <f>LOOKUP(AA$1,Nummer,Netto_6)</f>
        <v>12.2</v>
      </c>
      <c r="Q32" s="373"/>
      <c r="R32" s="310"/>
      <c r="S32" s="324">
        <f>LOOKUP(AA$1,Nummer,proz6)</f>
        <v>0.9999999991803278</v>
      </c>
      <c r="T32" s="325" t="str">
        <f t="shared" si="1"/>
        <v> 100 % =</v>
      </c>
      <c r="U32" s="482" t="str">
        <f t="shared" si="2"/>
        <v>ø Honigernte</v>
      </c>
      <c r="V32" s="482"/>
      <c r="W32" s="482"/>
      <c r="X32" s="483"/>
      <c r="Y32" s="297"/>
      <c r="Z32" s="217"/>
      <c r="AL32" s="223"/>
      <c r="AO32" s="217"/>
    </row>
    <row r="33" spans="2:41" ht="18" customHeight="1" thickBot="1">
      <c r="B33" s="312"/>
      <c r="C33" s="313" t="s">
        <v>173</v>
      </c>
      <c r="D33" s="314">
        <f>Titel!D10</f>
        <v>2011</v>
      </c>
      <c r="E33" s="315"/>
      <c r="F33" s="315"/>
      <c r="G33" s="315"/>
      <c r="H33" s="316" t="s">
        <v>174</v>
      </c>
      <c r="I33" s="317">
        <f>IF(SUM(I15:I25)=0,0,AVERAGE(I15:I25))</f>
        <v>0</v>
      </c>
      <c r="J33" s="318">
        <f>IF(SUM(J15:J25)=0,0,AVERAGE(J15:J25))</f>
        <v>0</v>
      </c>
      <c r="K33" s="319">
        <f>IF(SUM(K15:K25)=0,0,MIN(K15:K25))</f>
        <v>0</v>
      </c>
      <c r="L33" s="315" t="s">
        <v>67</v>
      </c>
      <c r="M33" s="315"/>
      <c r="N33" s="320" t="s">
        <v>175</v>
      </c>
      <c r="O33" s="321">
        <f>SUM(O15:O25)</f>
        <v>0</v>
      </c>
      <c r="P33" s="322">
        <f>SUM(P27:P32)</f>
        <v>64.47</v>
      </c>
      <c r="Q33" s="323">
        <f>SUM(Q15:Q25)</f>
        <v>0</v>
      </c>
      <c r="R33" s="315"/>
      <c r="S33" s="324">
        <f>LOOKUP(AA$1,Nummer,proz)</f>
        <v>0.9999999990712792</v>
      </c>
      <c r="T33" s="325" t="str">
        <f t="shared" si="1"/>
        <v> 100 % =</v>
      </c>
      <c r="U33" s="326" t="str">
        <f t="shared" si="2"/>
        <v>ø Honigernte</v>
      </c>
      <c r="V33" s="327"/>
      <c r="W33" s="327"/>
      <c r="X33" s="328"/>
      <c r="Y33" s="329"/>
      <c r="Z33" s="217"/>
      <c r="AL33" s="223"/>
      <c r="AO33" s="217"/>
    </row>
    <row r="34" spans="2:41" ht="18" customHeight="1" thickBot="1">
      <c r="B34" s="312"/>
      <c r="C34" s="313">
        <f>IF(P34&gt;0,"Jahr :",0)</f>
        <v>0</v>
      </c>
      <c r="D34" s="314">
        <f>IF(P34&gt;0,D33-1,0)</f>
        <v>0</v>
      </c>
      <c r="E34" s="315"/>
      <c r="F34" s="315"/>
      <c r="G34" s="315"/>
      <c r="H34" s="316"/>
      <c r="I34" s="317"/>
      <c r="J34" s="318"/>
      <c r="K34" s="319"/>
      <c r="L34" s="315" t="s">
        <v>67</v>
      </c>
      <c r="M34" s="315"/>
      <c r="N34" s="320"/>
      <c r="O34" s="321"/>
      <c r="P34" s="322"/>
      <c r="Q34" s="323"/>
      <c r="R34" s="315"/>
      <c r="S34" s="311"/>
      <c r="T34" s="330"/>
      <c r="U34" s="331"/>
      <c r="V34" s="315"/>
      <c r="W34" s="315"/>
      <c r="X34" s="332"/>
      <c r="Y34" s="329"/>
      <c r="Z34" s="217"/>
      <c r="AL34" s="223"/>
      <c r="AO34" s="217"/>
    </row>
    <row r="35" spans="2:41" ht="18" customHeight="1" thickBot="1">
      <c r="B35" s="312"/>
      <c r="C35" s="313">
        <f>IF(P35&gt;0,"Jahr :",0)</f>
        <v>0</v>
      </c>
      <c r="D35" s="314">
        <f>IF(P35&gt;0,D33-2,0)</f>
        <v>0</v>
      </c>
      <c r="E35" s="315"/>
      <c r="F35" s="315"/>
      <c r="G35" s="315"/>
      <c r="H35" s="316"/>
      <c r="I35" s="317"/>
      <c r="J35" s="318"/>
      <c r="K35" s="319"/>
      <c r="L35" s="315" t="s">
        <v>67</v>
      </c>
      <c r="M35" s="315"/>
      <c r="N35" s="320"/>
      <c r="O35" s="321"/>
      <c r="P35" s="322"/>
      <c r="Q35" s="323"/>
      <c r="R35" s="315"/>
      <c r="S35" s="311"/>
      <c r="T35" s="330"/>
      <c r="U35" s="331"/>
      <c r="V35" s="315"/>
      <c r="W35" s="315"/>
      <c r="X35" s="332"/>
      <c r="Y35" s="329"/>
      <c r="Z35" s="217"/>
      <c r="AL35" s="223"/>
      <c r="AO35" s="217"/>
    </row>
  </sheetData>
  <sheetProtection sheet="1" objects="1" scenarios="1" selectLockedCells="1"/>
  <mergeCells count="71">
    <mergeCell ref="S2:T2"/>
    <mergeCell ref="S3:T3"/>
    <mergeCell ref="S4:T4"/>
    <mergeCell ref="R16:X16"/>
    <mergeCell ref="W9:W10"/>
    <mergeCell ref="X9:X10"/>
    <mergeCell ref="S9:S10"/>
    <mergeCell ref="R12:X14"/>
    <mergeCell ref="R15:X15"/>
    <mergeCell ref="V9:V10"/>
    <mergeCell ref="U32:X32"/>
    <mergeCell ref="R17:X17"/>
    <mergeCell ref="R25:X25"/>
    <mergeCell ref="U27:X27"/>
    <mergeCell ref="U28:X28"/>
    <mergeCell ref="R20:X20"/>
    <mergeCell ref="R21:X21"/>
    <mergeCell ref="U31:X31"/>
    <mergeCell ref="U29:X29"/>
    <mergeCell ref="E6:G6"/>
    <mergeCell ref="U30:X30"/>
    <mergeCell ref="R22:X22"/>
    <mergeCell ref="R23:X23"/>
    <mergeCell ref="N13:N14"/>
    <mergeCell ref="O13:O14"/>
    <mergeCell ref="E7:G7"/>
    <mergeCell ref="E8:G8"/>
    <mergeCell ref="R24:X24"/>
    <mergeCell ref="T9:T10"/>
    <mergeCell ref="B12:B14"/>
    <mergeCell ref="C12:C14"/>
    <mergeCell ref="D13:D14"/>
    <mergeCell ref="I13:I14"/>
    <mergeCell ref="B10:D10"/>
    <mergeCell ref="Q13:Q14"/>
    <mergeCell ref="J13:J14"/>
    <mergeCell ref="K13:K14"/>
    <mergeCell ref="I10:K10"/>
    <mergeCell ref="L13:L14"/>
    <mergeCell ref="K2:Q2"/>
    <mergeCell ref="E4:J4"/>
    <mergeCell ref="E2:J2"/>
    <mergeCell ref="N10:O10"/>
    <mergeCell ref="L7:M7"/>
    <mergeCell ref="L8:M8"/>
    <mergeCell ref="L9:M9"/>
    <mergeCell ref="L10:M10"/>
    <mergeCell ref="E9:G9"/>
    <mergeCell ref="E10:G10"/>
    <mergeCell ref="B8:D8"/>
    <mergeCell ref="B9:D9"/>
    <mergeCell ref="B2:D2"/>
    <mergeCell ref="B7:D7"/>
    <mergeCell ref="B6:D6"/>
    <mergeCell ref="B4:D4"/>
    <mergeCell ref="B3:D3"/>
    <mergeCell ref="M13:M14"/>
    <mergeCell ref="R19:X19"/>
    <mergeCell ref="R18:X18"/>
    <mergeCell ref="P13:P14"/>
    <mergeCell ref="P10:Q10"/>
    <mergeCell ref="U9:U10"/>
    <mergeCell ref="N8:O8"/>
    <mergeCell ref="N9:O9"/>
    <mergeCell ref="I7:K7"/>
    <mergeCell ref="P9:Q9"/>
    <mergeCell ref="I8:K8"/>
    <mergeCell ref="I9:K9"/>
    <mergeCell ref="P8:Q8"/>
    <mergeCell ref="P7:Q7"/>
    <mergeCell ref="N7:O7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 r:id="rId4"/>
  <headerFooter alignWithMargins="0">
    <oddHeader>&amp;RSeite &amp;P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O35"/>
  <sheetViews>
    <sheetView showGridLines="0" showZeros="0" zoomScalePageLayoutView="0" workbookViewId="0" topLeftCell="A1">
      <selection activeCell="E7" sqref="E7:G7"/>
    </sheetView>
  </sheetViews>
  <sheetFormatPr defaultColWidth="0" defaultRowHeight="12.75"/>
  <cols>
    <col min="1" max="1" width="1.28515625" style="217" customWidth="1"/>
    <col min="2" max="2" width="3.7109375" style="217" customWidth="1"/>
    <col min="3" max="3" width="8.7109375" style="218" customWidth="1"/>
    <col min="4" max="4" width="4.57421875" style="217" customWidth="1"/>
    <col min="5" max="5" width="4.421875" style="217" customWidth="1"/>
    <col min="6" max="6" width="4.421875" style="218" customWidth="1"/>
    <col min="7" max="8" width="4.421875" style="217" customWidth="1"/>
    <col min="9" max="11" width="5.28125" style="217" customWidth="1"/>
    <col min="12" max="13" width="5.7109375" style="219" customWidth="1"/>
    <col min="14" max="14" width="5.7109375" style="217" customWidth="1"/>
    <col min="15" max="15" width="6.28125" style="217" customWidth="1"/>
    <col min="16" max="16" width="5.7109375" style="217" customWidth="1"/>
    <col min="17" max="17" width="6.57421875" style="217" customWidth="1"/>
    <col min="18" max="18" width="3.7109375" style="217" customWidth="1"/>
    <col min="19" max="19" width="7.57421875" style="217" customWidth="1"/>
    <col min="20" max="20" width="7.00390625" style="217" customWidth="1"/>
    <col min="21" max="21" width="8.421875" style="220" customWidth="1"/>
    <col min="22" max="22" width="6.00390625" style="221" customWidth="1"/>
    <col min="23" max="23" width="6.7109375" style="221" customWidth="1"/>
    <col min="24" max="24" width="8.57421875" style="221" customWidth="1"/>
    <col min="25" max="25" width="2.7109375" style="221" customWidth="1"/>
    <col min="26" max="26" width="2.7109375" style="222" customWidth="1"/>
    <col min="27" max="38" width="10.7109375" style="217" hidden="1" customWidth="1"/>
    <col min="39" max="41" width="10.7109375" style="223" hidden="1" customWidth="1"/>
    <col min="42" max="51" width="10.7109375" style="217" hidden="1" customWidth="1"/>
    <col min="52" max="52" width="1.7109375" style="217" hidden="1" customWidth="1"/>
    <col min="53" max="78" width="10.7109375" style="217" hidden="1" customWidth="1"/>
    <col min="79" max="16384" width="0" style="217" hidden="1" customWidth="1"/>
  </cols>
  <sheetData>
    <row r="1" spans="1:27" ht="15.75" customHeight="1">
      <c r="A1" s="263" t="s">
        <v>67</v>
      </c>
      <c r="AA1" s="217">
        <v>77</v>
      </c>
    </row>
    <row r="2" spans="1:41" ht="19.5" customHeight="1">
      <c r="A2" s="217" t="s">
        <v>67</v>
      </c>
      <c r="B2" s="442" t="s">
        <v>121</v>
      </c>
      <c r="C2" s="442"/>
      <c r="D2" s="442"/>
      <c r="E2" s="447" t="str">
        <f>Titel!D7</f>
        <v>NÖ-Landesimkerschule</v>
      </c>
      <c r="F2" s="447"/>
      <c r="G2" s="447"/>
      <c r="H2" s="447"/>
      <c r="I2" s="447"/>
      <c r="J2" s="447"/>
      <c r="K2" s="446" t="s">
        <v>122</v>
      </c>
      <c r="L2" s="446"/>
      <c r="M2" s="446"/>
      <c r="N2" s="446"/>
      <c r="O2" s="446"/>
      <c r="P2" s="446"/>
      <c r="Q2" s="446"/>
      <c r="R2" s="224">
        <f>IF(S2=0,"","ab:")</f>
      </c>
      <c r="S2" s="484">
        <f>Titel!D11</f>
        <v>0</v>
      </c>
      <c r="T2" s="484"/>
      <c r="U2" s="224">
        <f>IF(V2=0,"","Stand:")</f>
      </c>
      <c r="V2" s="225">
        <f>Titel!F11</f>
        <v>0</v>
      </c>
      <c r="W2" s="225"/>
      <c r="X2" s="225"/>
      <c r="Y2" s="225"/>
      <c r="Z2" s="217"/>
      <c r="AA2" s="217">
        <f>1+AA1</f>
        <v>78</v>
      </c>
      <c r="AL2" s="223"/>
      <c r="AO2" s="217"/>
    </row>
    <row r="3" spans="1:41" ht="19.5" customHeight="1">
      <c r="A3" s="217" t="s">
        <v>67</v>
      </c>
      <c r="B3" s="445" t="s">
        <v>123</v>
      </c>
      <c r="C3" s="445"/>
      <c r="D3" s="445"/>
      <c r="E3" s="225" t="str">
        <f>Titel!D8</f>
        <v>Aichhof 1, 2831 Warth</v>
      </c>
      <c r="F3" s="225"/>
      <c r="G3" s="225"/>
      <c r="H3" s="225"/>
      <c r="I3" s="225"/>
      <c r="J3" s="225"/>
      <c r="L3" s="224"/>
      <c r="M3" s="224"/>
      <c r="N3" s="224" t="s">
        <v>124</v>
      </c>
      <c r="O3" s="225" t="str">
        <f>Titel!F10</f>
        <v>Höllental</v>
      </c>
      <c r="P3" s="226"/>
      <c r="Q3" s="226"/>
      <c r="R3" s="224">
        <f>IF(S3=0,"","ab:")</f>
      </c>
      <c r="S3" s="484">
        <f>Titel!D12</f>
        <v>0</v>
      </c>
      <c r="T3" s="484"/>
      <c r="U3" s="224">
        <f>IF(V3=0,"","Stand:")</f>
      </c>
      <c r="V3" s="225">
        <f>Titel!F12</f>
        <v>0</v>
      </c>
      <c r="W3" s="225"/>
      <c r="X3" s="225"/>
      <c r="Y3" s="225"/>
      <c r="Z3" s="217"/>
      <c r="AL3" s="223"/>
      <c r="AO3" s="217"/>
    </row>
    <row r="4" spans="1:41" ht="19.5" customHeight="1">
      <c r="A4" s="217" t="s">
        <v>67</v>
      </c>
      <c r="B4" s="442" t="s">
        <v>11</v>
      </c>
      <c r="C4" s="442"/>
      <c r="D4" s="442"/>
      <c r="E4" s="447">
        <f>Titel!D9</f>
        <v>123456789</v>
      </c>
      <c r="F4" s="447"/>
      <c r="G4" s="447"/>
      <c r="H4" s="447"/>
      <c r="I4" s="447"/>
      <c r="J4" s="447"/>
      <c r="K4" s="225"/>
      <c r="L4" s="227"/>
      <c r="M4" s="227"/>
      <c r="N4" s="228" t="str">
        <f>Titel!C10</f>
        <v>Jahr:</v>
      </c>
      <c r="O4" s="228">
        <f>Titel!D10</f>
        <v>2011</v>
      </c>
      <c r="R4" s="224">
        <f>IF(S4=0,"","ab:")</f>
      </c>
      <c r="S4" s="484">
        <f>Titel!D13</f>
        <v>0</v>
      </c>
      <c r="T4" s="484"/>
      <c r="U4" s="224">
        <f>IF(V4=0,"","Stand:")</f>
      </c>
      <c r="V4" s="225">
        <f>Titel!F13</f>
        <v>0</v>
      </c>
      <c r="W4" s="225"/>
      <c r="X4" s="225"/>
      <c r="Y4" s="225"/>
      <c r="Z4" s="217"/>
      <c r="AL4" s="223"/>
      <c r="AO4" s="217"/>
    </row>
    <row r="5" spans="1:41" ht="12" thickBot="1">
      <c r="A5" s="217" t="s">
        <v>67</v>
      </c>
      <c r="C5" s="229"/>
      <c r="F5" s="223"/>
      <c r="G5" s="223"/>
      <c r="H5" s="223"/>
      <c r="I5" s="229"/>
      <c r="J5" s="230"/>
      <c r="K5" s="230"/>
      <c r="L5" s="226"/>
      <c r="T5" s="220"/>
      <c r="U5" s="221"/>
      <c r="X5" s="222"/>
      <c r="Y5" s="222"/>
      <c r="Z5" s="217"/>
      <c r="AL5" s="223"/>
      <c r="AO5" s="217"/>
    </row>
    <row r="6" spans="1:40" s="231" customFormat="1" ht="13.5" customHeight="1">
      <c r="A6" s="231" t="s">
        <v>67</v>
      </c>
      <c r="B6" s="443" t="s">
        <v>125</v>
      </c>
      <c r="C6" s="444"/>
      <c r="D6" s="444"/>
      <c r="E6" s="474" t="str">
        <f ca="1">MID(CELL("dateiname",A2),FIND("]",CELL("dateiname",A2))+1,100)</f>
        <v> </v>
      </c>
      <c r="F6" s="474"/>
      <c r="G6" s="475"/>
      <c r="H6" s="232"/>
      <c r="I6" s="233" t="s">
        <v>70</v>
      </c>
      <c r="J6" s="234"/>
      <c r="K6" s="234"/>
      <c r="L6" s="234"/>
      <c r="M6" s="235"/>
      <c r="N6" s="236" t="s">
        <v>71</v>
      </c>
      <c r="O6" s="234"/>
      <c r="P6" s="234"/>
      <c r="Q6" s="237"/>
      <c r="S6" s="238"/>
      <c r="T6" s="239"/>
      <c r="U6" s="240">
        <v>4</v>
      </c>
      <c r="V6" s="240">
        <v>3</v>
      </c>
      <c r="W6" s="240">
        <v>2</v>
      </c>
      <c r="X6" s="241">
        <v>1</v>
      </c>
      <c r="Y6" s="242"/>
      <c r="AL6" s="243"/>
      <c r="AM6" s="243"/>
      <c r="AN6" s="243"/>
    </row>
    <row r="7" spans="1:40" s="231" customFormat="1" ht="13.5" customHeight="1">
      <c r="A7" s="231" t="s">
        <v>67</v>
      </c>
      <c r="B7" s="440" t="s">
        <v>126</v>
      </c>
      <c r="C7" s="441"/>
      <c r="D7" s="441"/>
      <c r="E7" s="426"/>
      <c r="F7" s="426"/>
      <c r="G7" s="427"/>
      <c r="H7" s="244"/>
      <c r="I7" s="425" t="s">
        <v>126</v>
      </c>
      <c r="J7" s="424"/>
      <c r="K7" s="424"/>
      <c r="L7" s="450"/>
      <c r="M7" s="451"/>
      <c r="N7" s="423" t="s">
        <v>126</v>
      </c>
      <c r="O7" s="424"/>
      <c r="P7" s="426"/>
      <c r="Q7" s="427"/>
      <c r="S7" s="245" t="s">
        <v>127</v>
      </c>
      <c r="T7" s="246" t="s">
        <v>128</v>
      </c>
      <c r="U7" s="247" t="s">
        <v>129</v>
      </c>
      <c r="V7" s="247" t="s">
        <v>130</v>
      </c>
      <c r="W7" s="247" t="s">
        <v>131</v>
      </c>
      <c r="X7" s="248" t="s">
        <v>132</v>
      </c>
      <c r="Y7" s="249"/>
      <c r="AL7" s="243"/>
      <c r="AM7" s="243"/>
      <c r="AN7" s="243"/>
    </row>
    <row r="8" spans="1:40" s="231" customFormat="1" ht="13.5" customHeight="1">
      <c r="A8" s="231" t="s">
        <v>67</v>
      </c>
      <c r="B8" s="440" t="s">
        <v>133</v>
      </c>
      <c r="C8" s="441"/>
      <c r="D8" s="441"/>
      <c r="E8" s="426"/>
      <c r="F8" s="426"/>
      <c r="G8" s="427"/>
      <c r="H8" s="244"/>
      <c r="I8" s="428" t="s">
        <v>134</v>
      </c>
      <c r="J8" s="422"/>
      <c r="K8" s="422"/>
      <c r="L8" s="450"/>
      <c r="M8" s="451"/>
      <c r="N8" s="421" t="s">
        <v>135</v>
      </c>
      <c r="O8" s="422"/>
      <c r="P8" s="426"/>
      <c r="Q8" s="427"/>
      <c r="S8" s="245" t="s">
        <v>136</v>
      </c>
      <c r="T8" s="246" t="s">
        <v>137</v>
      </c>
      <c r="U8" s="247" t="s">
        <v>138</v>
      </c>
      <c r="V8" s="247" t="s">
        <v>139</v>
      </c>
      <c r="W8" s="247" t="s">
        <v>140</v>
      </c>
      <c r="X8" s="248" t="s">
        <v>141</v>
      </c>
      <c r="Y8" s="249"/>
      <c r="AL8" s="243"/>
      <c r="AM8" s="243"/>
      <c r="AN8" s="243"/>
    </row>
    <row r="9" spans="1:40" s="231" customFormat="1" ht="13.5" customHeight="1">
      <c r="A9" s="231" t="s">
        <v>67</v>
      </c>
      <c r="B9" s="440" t="s">
        <v>142</v>
      </c>
      <c r="C9" s="441"/>
      <c r="D9" s="441"/>
      <c r="E9" s="426"/>
      <c r="F9" s="426"/>
      <c r="G9" s="427"/>
      <c r="H9" s="244"/>
      <c r="I9" s="425" t="s">
        <v>142</v>
      </c>
      <c r="J9" s="424"/>
      <c r="K9" s="424"/>
      <c r="L9" s="450"/>
      <c r="M9" s="451"/>
      <c r="N9" s="423" t="s">
        <v>142</v>
      </c>
      <c r="O9" s="424"/>
      <c r="P9" s="426"/>
      <c r="Q9" s="427"/>
      <c r="S9" s="489" t="s">
        <v>143</v>
      </c>
      <c r="T9" s="480" t="s">
        <v>144</v>
      </c>
      <c r="U9" s="438" t="s">
        <v>145</v>
      </c>
      <c r="V9" s="485" t="s">
        <v>146</v>
      </c>
      <c r="W9" s="485" t="s">
        <v>147</v>
      </c>
      <c r="X9" s="487" t="s">
        <v>148</v>
      </c>
      <c r="Y9" s="250"/>
      <c r="AL9" s="243"/>
      <c r="AM9" s="243"/>
      <c r="AN9" s="243"/>
    </row>
    <row r="10" spans="1:40" s="231" customFormat="1" ht="13.5" customHeight="1" thickBot="1">
      <c r="A10" s="231" t="s">
        <v>67</v>
      </c>
      <c r="B10" s="464" t="s">
        <v>149</v>
      </c>
      <c r="C10" s="465"/>
      <c r="D10" s="465"/>
      <c r="E10" s="436"/>
      <c r="F10" s="436"/>
      <c r="G10" s="437"/>
      <c r="H10" s="244"/>
      <c r="I10" s="472"/>
      <c r="J10" s="473"/>
      <c r="K10" s="473"/>
      <c r="L10" s="452"/>
      <c r="M10" s="453"/>
      <c r="N10" s="448" t="s">
        <v>150</v>
      </c>
      <c r="O10" s="449"/>
      <c r="P10" s="436"/>
      <c r="Q10" s="437"/>
      <c r="S10" s="490"/>
      <c r="T10" s="481"/>
      <c r="U10" s="439"/>
      <c r="V10" s="486"/>
      <c r="W10" s="486"/>
      <c r="X10" s="488"/>
      <c r="Y10" s="249"/>
      <c r="AL10" s="243"/>
      <c r="AM10" s="243"/>
      <c r="AN10" s="243"/>
    </row>
    <row r="11" spans="1:40" s="231" customFormat="1" ht="20.25" customHeight="1" thickBot="1">
      <c r="A11" s="231" t="s">
        <v>67</v>
      </c>
      <c r="C11" s="251"/>
      <c r="F11" s="252"/>
      <c r="G11" s="252"/>
      <c r="H11" s="252"/>
      <c r="I11" s="252"/>
      <c r="J11" s="252"/>
      <c r="K11" s="252"/>
      <c r="L11" s="252"/>
      <c r="M11" s="253"/>
      <c r="O11" s="243"/>
      <c r="Q11" s="254"/>
      <c r="R11" s="255"/>
      <c r="S11" s="255"/>
      <c r="T11" s="256"/>
      <c r="U11" s="257"/>
      <c r="V11" s="257"/>
      <c r="W11" s="257"/>
      <c r="X11" s="258"/>
      <c r="Y11" s="258"/>
      <c r="AE11" s="259"/>
      <c r="AF11" s="259"/>
      <c r="AG11" s="259"/>
      <c r="AH11" s="259"/>
      <c r="AL11" s="243"/>
      <c r="AM11" s="243"/>
      <c r="AN11" s="243"/>
    </row>
    <row r="12" spans="1:41" s="225" customFormat="1" ht="16.5" customHeight="1">
      <c r="A12" s="225" t="s">
        <v>67</v>
      </c>
      <c r="B12" s="454" t="s">
        <v>102</v>
      </c>
      <c r="C12" s="457" t="s">
        <v>32</v>
      </c>
      <c r="D12" s="260" t="s">
        <v>151</v>
      </c>
      <c r="E12" s="260"/>
      <c r="F12" s="260"/>
      <c r="G12" s="260"/>
      <c r="H12" s="260"/>
      <c r="I12" s="260"/>
      <c r="J12" s="260"/>
      <c r="K12" s="260"/>
      <c r="L12" s="261" t="s">
        <v>202</v>
      </c>
      <c r="M12" s="260"/>
      <c r="N12" s="260"/>
      <c r="O12" s="260"/>
      <c r="P12" s="260"/>
      <c r="Q12" s="260"/>
      <c r="R12" s="491" t="s">
        <v>152</v>
      </c>
      <c r="S12" s="492"/>
      <c r="T12" s="492"/>
      <c r="U12" s="492"/>
      <c r="V12" s="492"/>
      <c r="W12" s="492"/>
      <c r="X12" s="493"/>
      <c r="Y12" s="258"/>
      <c r="AA12" s="262"/>
      <c r="AB12" s="262"/>
      <c r="AC12" s="262"/>
      <c r="AD12" s="262"/>
      <c r="AE12" s="263"/>
      <c r="AF12" s="263"/>
      <c r="AG12" s="263"/>
      <c r="AH12" s="263"/>
      <c r="AM12" s="223"/>
      <c r="AN12" s="223"/>
      <c r="AO12" s="223"/>
    </row>
    <row r="13" spans="1:40" s="225" customFormat="1" ht="12.75" customHeight="1">
      <c r="A13" s="225" t="s">
        <v>67</v>
      </c>
      <c r="B13" s="455"/>
      <c r="C13" s="458"/>
      <c r="D13" s="460" t="s">
        <v>153</v>
      </c>
      <c r="E13" s="264" t="s">
        <v>154</v>
      </c>
      <c r="F13" s="265"/>
      <c r="G13" s="265"/>
      <c r="H13" s="265"/>
      <c r="I13" s="462" t="s">
        <v>110</v>
      </c>
      <c r="J13" s="468" t="s">
        <v>111</v>
      </c>
      <c r="K13" s="470" t="s">
        <v>112</v>
      </c>
      <c r="L13" s="460" t="s">
        <v>155</v>
      </c>
      <c r="M13" s="429" t="s">
        <v>156</v>
      </c>
      <c r="N13" s="478" t="s">
        <v>157</v>
      </c>
      <c r="O13" s="434" t="s">
        <v>158</v>
      </c>
      <c r="P13" s="434" t="s">
        <v>159</v>
      </c>
      <c r="Q13" s="466" t="s">
        <v>160</v>
      </c>
      <c r="R13" s="494"/>
      <c r="S13" s="495"/>
      <c r="T13" s="495"/>
      <c r="U13" s="495"/>
      <c r="V13" s="495"/>
      <c r="W13" s="495"/>
      <c r="X13" s="496"/>
      <c r="Y13" s="258"/>
      <c r="AA13" s="223">
        <v>1</v>
      </c>
      <c r="AB13" s="223">
        <v>2</v>
      </c>
      <c r="AC13" s="223">
        <v>3</v>
      </c>
      <c r="AD13" s="223">
        <v>4</v>
      </c>
      <c r="AE13" s="223">
        <v>5</v>
      </c>
      <c r="AF13" s="223">
        <v>6</v>
      </c>
      <c r="AG13" s="223">
        <v>7</v>
      </c>
      <c r="AH13" s="223">
        <v>8</v>
      </c>
      <c r="AI13" s="223">
        <v>9</v>
      </c>
      <c r="AJ13" s="223">
        <v>10</v>
      </c>
      <c r="AK13" s="223">
        <v>11</v>
      </c>
      <c r="AL13" s="223">
        <v>12</v>
      </c>
      <c r="AM13" s="223">
        <v>13</v>
      </c>
      <c r="AN13" s="223">
        <v>14</v>
      </c>
    </row>
    <row r="14" spans="1:40" s="225" customFormat="1" ht="16.5" customHeight="1" thickBot="1">
      <c r="A14" s="225" t="s">
        <v>67</v>
      </c>
      <c r="B14" s="456"/>
      <c r="C14" s="459"/>
      <c r="D14" s="461"/>
      <c r="E14" s="266" t="s">
        <v>155</v>
      </c>
      <c r="F14" s="267" t="s">
        <v>161</v>
      </c>
      <c r="G14" s="268" t="s">
        <v>162</v>
      </c>
      <c r="H14" s="269" t="s">
        <v>163</v>
      </c>
      <c r="I14" s="463"/>
      <c r="J14" s="469"/>
      <c r="K14" s="471"/>
      <c r="L14" s="461"/>
      <c r="M14" s="430"/>
      <c r="N14" s="479"/>
      <c r="O14" s="435"/>
      <c r="P14" s="435"/>
      <c r="Q14" s="467"/>
      <c r="R14" s="497"/>
      <c r="S14" s="498"/>
      <c r="T14" s="498"/>
      <c r="U14" s="498"/>
      <c r="V14" s="498"/>
      <c r="W14" s="498"/>
      <c r="X14" s="499"/>
      <c r="Y14" s="258"/>
      <c r="AA14" s="225" t="s">
        <v>164</v>
      </c>
      <c r="AB14" s="225" t="s">
        <v>75</v>
      </c>
      <c r="AC14" s="225" t="s">
        <v>165</v>
      </c>
      <c r="AD14" s="225" t="s">
        <v>77</v>
      </c>
      <c r="AE14" s="225" t="s">
        <v>166</v>
      </c>
      <c r="AF14" s="225" t="s">
        <v>167</v>
      </c>
      <c r="AG14" s="225" t="s">
        <v>168</v>
      </c>
      <c r="AH14" s="225" t="s">
        <v>169</v>
      </c>
      <c r="AI14" s="225" t="s">
        <v>170</v>
      </c>
      <c r="AJ14" s="225" t="s">
        <v>171</v>
      </c>
      <c r="AK14" s="225" t="s">
        <v>172</v>
      </c>
      <c r="AL14" s="223" t="s">
        <v>110</v>
      </c>
      <c r="AM14" s="223" t="s">
        <v>111</v>
      </c>
      <c r="AN14" s="223" t="s">
        <v>112</v>
      </c>
    </row>
    <row r="15" spans="1:40" s="231" customFormat="1" ht="18" customHeight="1">
      <c r="A15" s="231" t="s">
        <v>67</v>
      </c>
      <c r="B15" s="270">
        <f>IF(C15&gt;0,1,0)</f>
        <v>0</v>
      </c>
      <c r="C15" s="271"/>
      <c r="D15" s="272"/>
      <c r="E15" s="273"/>
      <c r="F15" s="273"/>
      <c r="G15" s="273"/>
      <c r="H15" s="274"/>
      <c r="I15" s="275"/>
      <c r="J15" s="276"/>
      <c r="K15" s="277"/>
      <c r="L15" s="278"/>
      <c r="M15" s="279"/>
      <c r="N15" s="279"/>
      <c r="O15" s="280"/>
      <c r="P15" s="360"/>
      <c r="Q15" s="281"/>
      <c r="R15" s="500"/>
      <c r="S15" s="501"/>
      <c r="T15" s="501"/>
      <c r="U15" s="501"/>
      <c r="V15" s="501"/>
      <c r="W15" s="501"/>
      <c r="X15" s="502"/>
      <c r="Y15" s="258"/>
      <c r="AA15" s="127" t="str">
        <f>' '!$E$6</f>
        <v> </v>
      </c>
      <c r="AB15" s="126">
        <f>' '!$E$7</f>
        <v>0</v>
      </c>
      <c r="AC15" s="126">
        <f>' '!$E$8</f>
        <v>0</v>
      </c>
      <c r="AD15" s="126">
        <f>' '!$E$9</f>
        <v>0</v>
      </c>
      <c r="AE15" s="126">
        <f>' '!$L$7</f>
        <v>0</v>
      </c>
      <c r="AF15" s="126">
        <f>' '!$L$8</f>
        <v>0</v>
      </c>
      <c r="AG15" s="126">
        <f>' '!$L$9</f>
        <v>0</v>
      </c>
      <c r="AH15" s="126">
        <f>' '!$P$7</f>
        <v>0</v>
      </c>
      <c r="AI15" s="126">
        <f>' '!$P$8</f>
        <v>0</v>
      </c>
      <c r="AJ15" s="126">
        <f>' '!$P$9</f>
        <v>0</v>
      </c>
      <c r="AK15" s="126">
        <f>' '!$P$10</f>
        <v>0</v>
      </c>
      <c r="AL15" s="133">
        <f>' '!$I$33</f>
        <v>0</v>
      </c>
      <c r="AM15" s="133">
        <f>' '!$J$33</f>
        <v>0</v>
      </c>
      <c r="AN15" s="128">
        <f>' '!$K$33</f>
        <v>0</v>
      </c>
    </row>
    <row r="16" spans="2:40" s="231" customFormat="1" ht="18" customHeight="1">
      <c r="B16" s="282">
        <f>IF(C16&gt;0,1+B15,0)</f>
        <v>0</v>
      </c>
      <c r="C16" s="283"/>
      <c r="D16" s="284"/>
      <c r="E16" s="285"/>
      <c r="F16" s="285"/>
      <c r="G16" s="285"/>
      <c r="H16" s="286"/>
      <c r="I16" s="287"/>
      <c r="J16" s="288"/>
      <c r="K16" s="289"/>
      <c r="L16" s="290"/>
      <c r="M16" s="291"/>
      <c r="N16" s="291"/>
      <c r="O16" s="292"/>
      <c r="P16" s="360"/>
      <c r="Q16" s="293"/>
      <c r="R16" s="431"/>
      <c r="S16" s="432"/>
      <c r="T16" s="432"/>
      <c r="U16" s="432"/>
      <c r="V16" s="432"/>
      <c r="W16" s="432"/>
      <c r="X16" s="433"/>
      <c r="Y16" s="258"/>
      <c r="AA16" s="252"/>
      <c r="AB16" s="252"/>
      <c r="AC16" s="252"/>
      <c r="AD16" s="294"/>
      <c r="AL16" s="243"/>
      <c r="AM16" s="243"/>
      <c r="AN16" s="243"/>
    </row>
    <row r="17" spans="2:40" s="231" customFormat="1" ht="18" customHeight="1">
      <c r="B17" s="282">
        <f aca="true" t="shared" si="0" ref="B17:B25">IF(C17&gt;0,1+B16,0)</f>
        <v>0</v>
      </c>
      <c r="C17" s="283"/>
      <c r="D17" s="284"/>
      <c r="E17" s="285"/>
      <c r="F17" s="285"/>
      <c r="G17" s="285"/>
      <c r="H17" s="286"/>
      <c r="I17" s="287"/>
      <c r="J17" s="288"/>
      <c r="K17" s="289"/>
      <c r="L17" s="290"/>
      <c r="M17" s="291"/>
      <c r="N17" s="291"/>
      <c r="O17" s="292"/>
      <c r="P17" s="360"/>
      <c r="Q17" s="293"/>
      <c r="R17" s="431"/>
      <c r="S17" s="432"/>
      <c r="T17" s="432"/>
      <c r="U17" s="432"/>
      <c r="V17" s="432"/>
      <c r="W17" s="432"/>
      <c r="X17" s="433"/>
      <c r="Y17" s="295"/>
      <c r="AL17" s="243"/>
      <c r="AM17" s="243"/>
      <c r="AN17" s="243"/>
    </row>
    <row r="18" spans="1:40" s="263" customFormat="1" ht="18" customHeight="1">
      <c r="A18" s="217"/>
      <c r="B18" s="282">
        <f t="shared" si="0"/>
        <v>0</v>
      </c>
      <c r="C18" s="283"/>
      <c r="D18" s="284"/>
      <c r="E18" s="285"/>
      <c r="F18" s="285"/>
      <c r="G18" s="285"/>
      <c r="H18" s="286"/>
      <c r="I18" s="287"/>
      <c r="J18" s="288"/>
      <c r="K18" s="289"/>
      <c r="L18" s="290"/>
      <c r="M18" s="291"/>
      <c r="N18" s="291"/>
      <c r="O18" s="292"/>
      <c r="P18" s="360"/>
      <c r="Q18" s="293"/>
      <c r="R18" s="431"/>
      <c r="S18" s="432"/>
      <c r="T18" s="432"/>
      <c r="U18" s="432"/>
      <c r="V18" s="432"/>
      <c r="W18" s="432"/>
      <c r="X18" s="433"/>
      <c r="Y18" s="295"/>
      <c r="Z18" s="231"/>
      <c r="AL18" s="296"/>
      <c r="AM18" s="296"/>
      <c r="AN18" s="296"/>
    </row>
    <row r="19" spans="2:41" ht="18" customHeight="1">
      <c r="B19" s="282">
        <f t="shared" si="0"/>
        <v>0</v>
      </c>
      <c r="C19" s="283"/>
      <c r="D19" s="284"/>
      <c r="E19" s="285"/>
      <c r="F19" s="285"/>
      <c r="G19" s="285"/>
      <c r="H19" s="286"/>
      <c r="I19" s="287"/>
      <c r="J19" s="288"/>
      <c r="K19" s="289"/>
      <c r="L19" s="290"/>
      <c r="M19" s="291"/>
      <c r="N19" s="291"/>
      <c r="O19" s="292"/>
      <c r="P19" s="360"/>
      <c r="Q19" s="293"/>
      <c r="R19" s="431"/>
      <c r="S19" s="432"/>
      <c r="T19" s="432"/>
      <c r="U19" s="432"/>
      <c r="V19" s="432"/>
      <c r="W19" s="432"/>
      <c r="X19" s="433"/>
      <c r="Y19" s="295"/>
      <c r="Z19" s="217"/>
      <c r="AL19" s="223"/>
      <c r="AO19" s="217"/>
    </row>
    <row r="20" spans="2:41" ht="18" customHeight="1">
      <c r="B20" s="282">
        <f t="shared" si="0"/>
        <v>0</v>
      </c>
      <c r="C20" s="283"/>
      <c r="D20" s="284"/>
      <c r="E20" s="285"/>
      <c r="F20" s="285"/>
      <c r="G20" s="285"/>
      <c r="H20" s="286"/>
      <c r="I20" s="287"/>
      <c r="J20" s="288"/>
      <c r="K20" s="289"/>
      <c r="L20" s="290"/>
      <c r="M20" s="291"/>
      <c r="N20" s="291"/>
      <c r="O20" s="292"/>
      <c r="P20" s="360"/>
      <c r="Q20" s="293"/>
      <c r="R20" s="431"/>
      <c r="S20" s="432"/>
      <c r="T20" s="432"/>
      <c r="U20" s="432"/>
      <c r="V20" s="432"/>
      <c r="W20" s="432"/>
      <c r="X20" s="433"/>
      <c r="Y20" s="295"/>
      <c r="Z20" s="217"/>
      <c r="AL20" s="223"/>
      <c r="AO20" s="217"/>
    </row>
    <row r="21" spans="2:41" ht="18" customHeight="1">
      <c r="B21" s="282">
        <f t="shared" si="0"/>
        <v>0</v>
      </c>
      <c r="C21" s="283"/>
      <c r="D21" s="284"/>
      <c r="E21" s="285"/>
      <c r="F21" s="285"/>
      <c r="G21" s="285"/>
      <c r="H21" s="286"/>
      <c r="I21" s="287"/>
      <c r="J21" s="288"/>
      <c r="K21" s="289"/>
      <c r="L21" s="290"/>
      <c r="M21" s="291"/>
      <c r="N21" s="291"/>
      <c r="O21" s="292"/>
      <c r="P21" s="360"/>
      <c r="Q21" s="293"/>
      <c r="R21" s="431"/>
      <c r="S21" s="432"/>
      <c r="T21" s="432"/>
      <c r="U21" s="432"/>
      <c r="V21" s="432"/>
      <c r="W21" s="432"/>
      <c r="X21" s="433"/>
      <c r="Y21" s="295"/>
      <c r="Z21" s="217"/>
      <c r="AL21" s="223"/>
      <c r="AO21" s="217"/>
    </row>
    <row r="22" spans="2:41" ht="18" customHeight="1">
      <c r="B22" s="282">
        <f t="shared" si="0"/>
        <v>0</v>
      </c>
      <c r="C22" s="283"/>
      <c r="D22" s="284"/>
      <c r="E22" s="285"/>
      <c r="F22" s="285"/>
      <c r="G22" s="285"/>
      <c r="H22" s="286"/>
      <c r="I22" s="287"/>
      <c r="J22" s="288"/>
      <c r="K22" s="289"/>
      <c r="L22" s="290"/>
      <c r="M22" s="291"/>
      <c r="N22" s="291"/>
      <c r="O22" s="292"/>
      <c r="P22" s="360"/>
      <c r="Q22" s="293"/>
      <c r="R22" s="431"/>
      <c r="S22" s="432"/>
      <c r="T22" s="432"/>
      <c r="U22" s="432"/>
      <c r="V22" s="432"/>
      <c r="W22" s="432"/>
      <c r="X22" s="433"/>
      <c r="Y22" s="295"/>
      <c r="Z22" s="217"/>
      <c r="AL22" s="223"/>
      <c r="AO22" s="217"/>
    </row>
    <row r="23" spans="2:41" ht="18" customHeight="1">
      <c r="B23" s="282">
        <f t="shared" si="0"/>
        <v>0</v>
      </c>
      <c r="C23" s="283"/>
      <c r="D23" s="284"/>
      <c r="E23" s="285"/>
      <c r="F23" s="285"/>
      <c r="G23" s="285"/>
      <c r="H23" s="286"/>
      <c r="I23" s="287"/>
      <c r="J23" s="288"/>
      <c r="K23" s="289"/>
      <c r="L23" s="290"/>
      <c r="M23" s="291"/>
      <c r="N23" s="291"/>
      <c r="O23" s="292"/>
      <c r="P23" s="360"/>
      <c r="Q23" s="293"/>
      <c r="R23" s="431"/>
      <c r="S23" s="432"/>
      <c r="T23" s="432"/>
      <c r="U23" s="432"/>
      <c r="V23" s="432"/>
      <c r="W23" s="432"/>
      <c r="X23" s="433"/>
      <c r="Y23" s="295"/>
      <c r="Z23" s="217"/>
      <c r="AL23" s="223"/>
      <c r="AO23" s="217"/>
    </row>
    <row r="24" spans="2:41" ht="18" customHeight="1">
      <c r="B24" s="282">
        <f t="shared" si="0"/>
        <v>0</v>
      </c>
      <c r="C24" s="355"/>
      <c r="D24" s="290"/>
      <c r="E24" s="291"/>
      <c r="F24" s="291"/>
      <c r="G24" s="291"/>
      <c r="H24" s="292"/>
      <c r="I24" s="287"/>
      <c r="J24" s="288"/>
      <c r="K24" s="289"/>
      <c r="L24" s="290"/>
      <c r="M24" s="291"/>
      <c r="N24" s="291"/>
      <c r="O24" s="292"/>
      <c r="P24" s="360"/>
      <c r="Q24" s="293"/>
      <c r="R24" s="431"/>
      <c r="S24" s="432"/>
      <c r="T24" s="432"/>
      <c r="U24" s="432"/>
      <c r="V24" s="432"/>
      <c r="W24" s="432"/>
      <c r="X24" s="433"/>
      <c r="Y24" s="295"/>
      <c r="Z24" s="217"/>
      <c r="AL24" s="223"/>
      <c r="AO24" s="217"/>
    </row>
    <row r="25" spans="1:41" ht="0.75" customHeight="1">
      <c r="A25" s="217" t="s">
        <v>67</v>
      </c>
      <c r="B25" s="282">
        <f t="shared" si="0"/>
        <v>0</v>
      </c>
      <c r="C25" s="355"/>
      <c r="D25" s="290"/>
      <c r="E25" s="291"/>
      <c r="F25" s="291"/>
      <c r="G25" s="291"/>
      <c r="H25" s="292"/>
      <c r="I25" s="287"/>
      <c r="J25" s="288"/>
      <c r="K25" s="289"/>
      <c r="L25" s="290"/>
      <c r="M25" s="291"/>
      <c r="N25" s="291"/>
      <c r="O25" s="291"/>
      <c r="P25" s="360"/>
      <c r="Q25" s="356"/>
      <c r="R25" s="431"/>
      <c r="S25" s="432"/>
      <c r="T25" s="432"/>
      <c r="U25" s="432"/>
      <c r="V25" s="432"/>
      <c r="W25" s="432"/>
      <c r="X25" s="433"/>
      <c r="Y25" s="295"/>
      <c r="Z25" s="217"/>
      <c r="AL25" s="223"/>
      <c r="AO25" s="217"/>
    </row>
    <row r="26" spans="1:41" ht="19.5" customHeight="1" hidden="1" thickBot="1">
      <c r="A26" s="217" t="s">
        <v>67</v>
      </c>
      <c r="B26" s="357"/>
      <c r="C26" s="346"/>
      <c r="D26" s="350"/>
      <c r="E26" s="351"/>
      <c r="F26" s="351"/>
      <c r="G26" s="351"/>
      <c r="H26" s="351"/>
      <c r="I26" s="347"/>
      <c r="J26" s="348"/>
      <c r="K26" s="349"/>
      <c r="L26" s="350"/>
      <c r="M26" s="351"/>
      <c r="N26" s="352"/>
      <c r="O26" s="358"/>
      <c r="P26" s="345"/>
      <c r="Q26" s="359"/>
      <c r="R26" s="353"/>
      <c r="S26" s="295"/>
      <c r="T26" s="295"/>
      <c r="U26" s="295"/>
      <c r="V26" s="295"/>
      <c r="W26" s="295"/>
      <c r="X26" s="354"/>
      <c r="Y26" s="295"/>
      <c r="Z26" s="217"/>
      <c r="AL26" s="223"/>
      <c r="AO26" s="217"/>
    </row>
    <row r="27" spans="1:41" ht="18" customHeight="1">
      <c r="A27" s="217" t="s">
        <v>67</v>
      </c>
      <c r="B27" s="298">
        <f>IF(C27&gt;0,1,0)</f>
        <v>0</v>
      </c>
      <c r="C27" s="364">
        <f>'Schleuderl.'!N7</f>
        <v>0</v>
      </c>
      <c r="D27" s="299">
        <f>IF(C27=0,0,"1. Schleuderung")</f>
        <v>0</v>
      </c>
      <c r="E27" s="300"/>
      <c r="F27" s="300"/>
      <c r="G27" s="300"/>
      <c r="H27" s="301"/>
      <c r="I27" s="302"/>
      <c r="J27" s="303"/>
      <c r="K27" s="304"/>
      <c r="L27" s="299">
        <f>'Schleuderl.'!N9</f>
        <v>0</v>
      </c>
      <c r="M27" s="300"/>
      <c r="N27" s="305"/>
      <c r="O27" s="365"/>
      <c r="P27" s="306">
        <f>LOOKUP(AA$1,Nummer,Netto_1)</f>
        <v>1E-08</v>
      </c>
      <c r="Q27" s="307"/>
      <c r="R27" s="366"/>
      <c r="S27" s="308">
        <f>LOOKUP(AA$1,Nummer,proz1)</f>
        <v>9.049773747466267E-10</v>
      </c>
      <c r="T27" s="309">
        <f aca="true" t="shared" si="1" ref="T27:T33">IF(P27&lt;0.01,""," 100 % =")</f>
      </c>
      <c r="U27" s="476">
        <f aca="true" t="shared" si="2" ref="U27:U33">IF(P27&lt;0.01,"","ø Honigernte")</f>
      </c>
      <c r="V27" s="476"/>
      <c r="W27" s="476"/>
      <c r="X27" s="477"/>
      <c r="Y27" s="297"/>
      <c r="Z27" s="217"/>
      <c r="AL27" s="223"/>
      <c r="AO27" s="217"/>
    </row>
    <row r="28" spans="1:41" ht="18" customHeight="1">
      <c r="A28" s="217" t="s">
        <v>67</v>
      </c>
      <c r="B28" s="298">
        <f>IF(C28&gt;0,B27+1,0)</f>
        <v>0</v>
      </c>
      <c r="C28" s="364">
        <f>'Schleuderl.'!S7</f>
        <v>0</v>
      </c>
      <c r="D28" s="299">
        <f>IF(C28=0,0,"2. Schleuderung")</f>
        <v>0</v>
      </c>
      <c r="E28" s="300"/>
      <c r="F28" s="300"/>
      <c r="G28" s="300"/>
      <c r="H28" s="301"/>
      <c r="I28" s="302"/>
      <c r="J28" s="303"/>
      <c r="K28" s="304"/>
      <c r="L28" s="299">
        <f>'Schleuderl.'!S9</f>
        <v>0</v>
      </c>
      <c r="M28" s="300"/>
      <c r="N28" s="305"/>
      <c r="O28" s="303"/>
      <c r="P28" s="306">
        <f>LOOKUP(AA$1,Nummer,Netto_2)</f>
        <v>1E-08</v>
      </c>
      <c r="Q28" s="307"/>
      <c r="R28" s="366"/>
      <c r="S28" s="308">
        <f>LOOKUP(AA$1,Nummer,proz2)</f>
        <v>9.416195848007347E-10</v>
      </c>
      <c r="T28" s="309">
        <f t="shared" si="1"/>
      </c>
      <c r="U28" s="476">
        <f t="shared" si="2"/>
      </c>
      <c r="V28" s="476"/>
      <c r="W28" s="476"/>
      <c r="X28" s="477"/>
      <c r="Y28" s="297"/>
      <c r="Z28" s="217"/>
      <c r="AL28" s="223"/>
      <c r="AO28" s="217"/>
    </row>
    <row r="29" spans="2:41" ht="18" customHeight="1">
      <c r="B29" s="298"/>
      <c r="C29" s="364"/>
      <c r="D29" s="299"/>
      <c r="E29" s="300"/>
      <c r="F29" s="300"/>
      <c r="G29" s="300"/>
      <c r="H29" s="301"/>
      <c r="I29" s="302"/>
      <c r="J29" s="303"/>
      <c r="K29" s="304"/>
      <c r="L29" s="299">
        <f>'Schleuderl.'!X9</f>
        <v>0</v>
      </c>
      <c r="M29" s="300"/>
      <c r="N29" s="305"/>
      <c r="O29" s="303"/>
      <c r="P29" s="306">
        <f>LOOKUP(AA$1,Nummer,Netto_3)</f>
        <v>1E-08</v>
      </c>
      <c r="Q29" s="307"/>
      <c r="R29" s="366"/>
      <c r="S29" s="308">
        <f>LOOKUP(AA$1,Nummer,proz3)</f>
        <v>1.086956520557656E-09</v>
      </c>
      <c r="T29" s="309">
        <f t="shared" si="1"/>
      </c>
      <c r="U29" s="476">
        <f t="shared" si="2"/>
      </c>
      <c r="V29" s="476"/>
      <c r="W29" s="476"/>
      <c r="X29" s="477"/>
      <c r="Y29" s="297"/>
      <c r="Z29" s="217"/>
      <c r="AL29" s="223"/>
      <c r="AO29" s="217"/>
    </row>
    <row r="30" spans="2:41" ht="18" customHeight="1">
      <c r="B30" s="298"/>
      <c r="C30" s="364"/>
      <c r="D30" s="299"/>
      <c r="E30" s="300"/>
      <c r="F30" s="300"/>
      <c r="G30" s="300"/>
      <c r="H30" s="301"/>
      <c r="I30" s="302"/>
      <c r="J30" s="303"/>
      <c r="K30" s="304"/>
      <c r="L30" s="299">
        <f>'Schleuderl.'!AC9</f>
        <v>0</v>
      </c>
      <c r="M30" s="300"/>
      <c r="N30" s="305"/>
      <c r="O30" s="303"/>
      <c r="P30" s="306">
        <f>LOOKUP(AA$1,Nummer,Netto_4)</f>
        <v>1E-08</v>
      </c>
      <c r="Q30" s="307"/>
      <c r="R30" s="366"/>
      <c r="S30" s="308">
        <f>LOOKUP(AA$1,Nummer,proz4)</f>
        <v>8.196721304756786E-10</v>
      </c>
      <c r="T30" s="309">
        <f t="shared" si="1"/>
      </c>
      <c r="U30" s="476">
        <f t="shared" si="2"/>
      </c>
      <c r="V30" s="476"/>
      <c r="W30" s="476"/>
      <c r="X30" s="477"/>
      <c r="Y30" s="297"/>
      <c r="Z30" s="217"/>
      <c r="AL30" s="223"/>
      <c r="AO30" s="217"/>
    </row>
    <row r="31" spans="1:41" ht="18" customHeight="1">
      <c r="A31" s="217" t="s">
        <v>67</v>
      </c>
      <c r="B31" s="298">
        <f>IF(C31&gt;0,B28+1,0)</f>
        <v>0</v>
      </c>
      <c r="C31" s="364">
        <f>'Schleuderl.'!X7</f>
        <v>0</v>
      </c>
      <c r="D31" s="299">
        <f>IF(C31=0,0,"3. Schleuderung")</f>
        <v>0</v>
      </c>
      <c r="E31" s="300"/>
      <c r="F31" s="300"/>
      <c r="G31" s="300"/>
      <c r="H31" s="301"/>
      <c r="I31" s="302"/>
      <c r="J31" s="303"/>
      <c r="K31" s="304"/>
      <c r="L31" s="299">
        <f>'Schleuderl.'!AH9</f>
        <v>0</v>
      </c>
      <c r="M31" s="300"/>
      <c r="N31" s="305"/>
      <c r="O31" s="303"/>
      <c r="P31" s="306">
        <f>LOOKUP(AA$1,Nummer,Netto_5)</f>
        <v>1E-08</v>
      </c>
      <c r="Q31" s="307"/>
      <c r="R31" s="366"/>
      <c r="S31" s="308">
        <f>LOOKUP(AA$1,Nummer,proz5)</f>
        <v>1.086956520557656E-09</v>
      </c>
      <c r="T31" s="309">
        <f t="shared" si="1"/>
      </c>
      <c r="U31" s="476">
        <f t="shared" si="2"/>
      </c>
      <c r="V31" s="476"/>
      <c r="W31" s="476"/>
      <c r="X31" s="477"/>
      <c r="Y31" s="297"/>
      <c r="Z31" s="217"/>
      <c r="AL31" s="223"/>
      <c r="AO31" s="217"/>
    </row>
    <row r="32" spans="1:41" ht="18" customHeight="1" thickBot="1">
      <c r="A32" s="217" t="s">
        <v>67</v>
      </c>
      <c r="B32" s="362">
        <f>IF(C32&gt;0,B31+1,0)</f>
        <v>0</v>
      </c>
      <c r="C32" s="363">
        <f>'Schleuderl.'!AC7</f>
        <v>0</v>
      </c>
      <c r="D32" s="367">
        <f>IF(C32=0,0,"4. Schleuderung")</f>
        <v>0</v>
      </c>
      <c r="E32" s="327"/>
      <c r="F32" s="327"/>
      <c r="G32" s="327"/>
      <c r="H32" s="328"/>
      <c r="I32" s="368"/>
      <c r="J32" s="369"/>
      <c r="K32" s="370"/>
      <c r="L32" s="299">
        <f>'Schleuderl.'!AM9</f>
        <v>0</v>
      </c>
      <c r="M32" s="327"/>
      <c r="N32" s="371"/>
      <c r="O32" s="369"/>
      <c r="P32" s="306">
        <f>LOOKUP(AA$1,Nummer,Netto_6)</f>
        <v>1E-08</v>
      </c>
      <c r="Q32" s="373"/>
      <c r="R32" s="310"/>
      <c r="S32" s="375">
        <f>LOOKUP(AA$1,Nummer,proz6)</f>
        <v>8.196721304756786E-10</v>
      </c>
      <c r="T32" s="325">
        <f t="shared" si="1"/>
      </c>
      <c r="U32" s="482">
        <f t="shared" si="2"/>
      </c>
      <c r="V32" s="482"/>
      <c r="W32" s="482"/>
      <c r="X32" s="483"/>
      <c r="Y32" s="297"/>
      <c r="Z32" s="217"/>
      <c r="AL32" s="223"/>
      <c r="AO32" s="217"/>
    </row>
    <row r="33" spans="1:41" ht="18" customHeight="1" thickBot="1">
      <c r="A33" s="217" t="s">
        <v>67</v>
      </c>
      <c r="B33" s="312"/>
      <c r="C33" s="313" t="s">
        <v>173</v>
      </c>
      <c r="D33" s="314">
        <f>Titel!D10</f>
        <v>2011</v>
      </c>
      <c r="E33" s="315"/>
      <c r="F33" s="315"/>
      <c r="G33" s="315"/>
      <c r="H33" s="316" t="s">
        <v>174</v>
      </c>
      <c r="I33" s="317">
        <f>IF(SUM(I15:I25)=0,0,AVERAGE(I15:I25))</f>
        <v>0</v>
      </c>
      <c r="J33" s="318">
        <f>IF(SUM(J15:J25)=0,0,AVERAGE(J15:J25))</f>
        <v>0</v>
      </c>
      <c r="K33" s="319">
        <f>IF(SUM(K15:K25)=0,0,MIN(K15:K25))</f>
        <v>0</v>
      </c>
      <c r="L33" s="315" t="s">
        <v>67</v>
      </c>
      <c r="M33" s="315"/>
      <c r="N33" s="320" t="s">
        <v>175</v>
      </c>
      <c r="O33" s="321">
        <f>SUM(O15:O25)</f>
        <v>0</v>
      </c>
      <c r="P33" s="322">
        <f>SUM(P27:P32)</f>
        <v>6E-08</v>
      </c>
      <c r="Q33" s="323">
        <f>SUM(Q15:Q25)</f>
        <v>0</v>
      </c>
      <c r="R33" s="315"/>
      <c r="S33" s="376">
        <f>LOOKUP(AA$1,Nummer,proz)</f>
        <v>1E-06</v>
      </c>
      <c r="T33" s="325">
        <f t="shared" si="1"/>
      </c>
      <c r="U33" s="326">
        <f t="shared" si="2"/>
      </c>
      <c r="V33" s="327"/>
      <c r="W33" s="327"/>
      <c r="X33" s="328"/>
      <c r="Y33" s="329"/>
      <c r="Z33" s="217"/>
      <c r="AL33" s="223"/>
      <c r="AO33" s="217"/>
    </row>
    <row r="34" spans="1:41" ht="18" customHeight="1" thickBot="1">
      <c r="A34" s="217" t="s">
        <v>67</v>
      </c>
      <c r="B34" s="312"/>
      <c r="C34" s="313">
        <f>IF(P34&gt;0,"Jahr :",0)</f>
        <v>0</v>
      </c>
      <c r="D34" s="314">
        <f>IF(P34&gt;0,D33-1,0)</f>
        <v>0</v>
      </c>
      <c r="E34" s="315"/>
      <c r="F34" s="315"/>
      <c r="G34" s="315"/>
      <c r="H34" s="316"/>
      <c r="I34" s="317"/>
      <c r="J34" s="318"/>
      <c r="K34" s="319"/>
      <c r="L34" s="315" t="s">
        <v>67</v>
      </c>
      <c r="M34" s="315"/>
      <c r="N34" s="320"/>
      <c r="O34" s="321"/>
      <c r="P34" s="322"/>
      <c r="Q34" s="323"/>
      <c r="R34" s="315"/>
      <c r="S34" s="311"/>
      <c r="T34" s="330"/>
      <c r="U34" s="331"/>
      <c r="V34" s="315"/>
      <c r="W34" s="315"/>
      <c r="X34" s="332"/>
      <c r="Y34" s="329"/>
      <c r="Z34" s="217"/>
      <c r="AL34" s="223"/>
      <c r="AO34" s="217"/>
    </row>
    <row r="35" spans="1:41" ht="18" customHeight="1" thickBot="1">
      <c r="A35" s="217" t="s">
        <v>67</v>
      </c>
      <c r="B35" s="312"/>
      <c r="C35" s="313">
        <f>IF(P35&gt;0,"Jahr :",0)</f>
        <v>0</v>
      </c>
      <c r="D35" s="314">
        <f>IF(P35&gt;0,D33-2,0)</f>
        <v>0</v>
      </c>
      <c r="E35" s="315"/>
      <c r="F35" s="315"/>
      <c r="G35" s="315"/>
      <c r="H35" s="316"/>
      <c r="I35" s="317"/>
      <c r="J35" s="318"/>
      <c r="K35" s="319"/>
      <c r="L35" s="315" t="s">
        <v>67</v>
      </c>
      <c r="M35" s="315"/>
      <c r="N35" s="320"/>
      <c r="O35" s="321"/>
      <c r="P35" s="322"/>
      <c r="Q35" s="323"/>
      <c r="R35" s="315"/>
      <c r="S35" s="311"/>
      <c r="T35" s="330"/>
      <c r="U35" s="331"/>
      <c r="V35" s="315"/>
      <c r="W35" s="315"/>
      <c r="X35" s="332"/>
      <c r="Y35" s="329"/>
      <c r="Z35" s="217"/>
      <c r="AL35" s="223"/>
      <c r="AO35" s="217"/>
    </row>
  </sheetData>
  <sheetProtection sheet="1" objects="1" scenarios="1" selectLockedCells="1"/>
  <mergeCells count="71">
    <mergeCell ref="B10:D10"/>
    <mergeCell ref="E7:G7"/>
    <mergeCell ref="E8:G8"/>
    <mergeCell ref="E9:G9"/>
    <mergeCell ref="E10:G10"/>
    <mergeCell ref="B8:D8"/>
    <mergeCell ref="B9:D9"/>
    <mergeCell ref="I7:K7"/>
    <mergeCell ref="L7:M7"/>
    <mergeCell ref="L8:M8"/>
    <mergeCell ref="B2:D2"/>
    <mergeCell ref="B7:D7"/>
    <mergeCell ref="B6:D6"/>
    <mergeCell ref="B4:D4"/>
    <mergeCell ref="B3:D3"/>
    <mergeCell ref="K2:Q2"/>
    <mergeCell ref="E4:J4"/>
    <mergeCell ref="E2:J2"/>
    <mergeCell ref="N10:O10"/>
    <mergeCell ref="L10:M10"/>
    <mergeCell ref="E6:G6"/>
    <mergeCell ref="P7:Q7"/>
    <mergeCell ref="P8:Q8"/>
    <mergeCell ref="P9:Q9"/>
    <mergeCell ref="N7:O7"/>
    <mergeCell ref="P10:Q10"/>
    <mergeCell ref="I8:K8"/>
    <mergeCell ref="I9:K9"/>
    <mergeCell ref="I10:K10"/>
    <mergeCell ref="N8:O8"/>
    <mergeCell ref="N9:O9"/>
    <mergeCell ref="L9:M9"/>
    <mergeCell ref="B12:B14"/>
    <mergeCell ref="C12:C14"/>
    <mergeCell ref="D13:D14"/>
    <mergeCell ref="I13:I14"/>
    <mergeCell ref="J13:J14"/>
    <mergeCell ref="K13:K14"/>
    <mergeCell ref="L13:L14"/>
    <mergeCell ref="M13:M14"/>
    <mergeCell ref="U30:X30"/>
    <mergeCell ref="R22:X22"/>
    <mergeCell ref="R23:X23"/>
    <mergeCell ref="N13:N14"/>
    <mergeCell ref="O13:O14"/>
    <mergeCell ref="P13:P14"/>
    <mergeCell ref="Q13:Q14"/>
    <mergeCell ref="R19:X19"/>
    <mergeCell ref="U32:X32"/>
    <mergeCell ref="R17:X17"/>
    <mergeCell ref="R25:X25"/>
    <mergeCell ref="U27:X27"/>
    <mergeCell ref="U28:X28"/>
    <mergeCell ref="R20:X20"/>
    <mergeCell ref="X9:X10"/>
    <mergeCell ref="S9:S10"/>
    <mergeCell ref="R18:X18"/>
    <mergeCell ref="R15:X15"/>
    <mergeCell ref="V9:V10"/>
    <mergeCell ref="U31:X31"/>
    <mergeCell ref="T9:T10"/>
    <mergeCell ref="R12:X14"/>
    <mergeCell ref="U9:U10"/>
    <mergeCell ref="R21:X21"/>
    <mergeCell ref="U29:X29"/>
    <mergeCell ref="R24:X24"/>
    <mergeCell ref="S2:T2"/>
    <mergeCell ref="S3:T3"/>
    <mergeCell ref="S4:T4"/>
    <mergeCell ref="R16:X16"/>
    <mergeCell ref="W9:W10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 r:id="rId4"/>
  <headerFooter alignWithMargins="0">
    <oddHeader>&amp;RSeite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Stockkarten für Imker</dc:title>
  <dc:subject/>
  <dc:creator>Ringhofer</dc:creator>
  <cp:keywords/>
  <dc:description/>
  <cp:lastModifiedBy>Ringhofer Franz</cp:lastModifiedBy>
  <cp:lastPrinted>2011-03-09T18:33:44Z</cp:lastPrinted>
  <dcterms:created xsi:type="dcterms:W3CDTF">2005-03-04T17:58:45Z</dcterms:created>
  <dcterms:modified xsi:type="dcterms:W3CDTF">2014-12-16T10:50:17Z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